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JREIeq9CWLluiVdo+9h5bdVGWvTOV0ivgushjoiSkUNguHk2XVHCV2noWpen52uKBI4sD1p8ZM0fwW7O2hIWgg==" workbookSaltValue="Q3vive8EupBDbgIuxycupA==" workbookSpinCount="100000" lockStructure="1"/>
  <bookViews>
    <workbookView xWindow="14385" yWindow="45" windowWidth="14430" windowHeight="12195"/>
  </bookViews>
  <sheets>
    <sheet name="INPUT" sheetId="13" r:id="rId1"/>
    <sheet name="Report-Details" sheetId="6" r:id="rId2"/>
    <sheet name="Report-Summary" sheetId="5" r:id="rId3"/>
    <sheet name="Intermediate Calcs" sheetId="12" r:id="rId4"/>
    <sheet name="Assumptions" sheetId="7" r:id="rId5"/>
    <sheet name="Intermediate-Calculations" sheetId="8" state="hidden" r:id="rId6"/>
    <sheet name="Input-Expenses" sheetId="2" state="hidden" r:id="rId7"/>
    <sheet name="Proprietary" sheetId="9" state="hidden" r:id="rId8"/>
    <sheet name="developer tab" sheetId="11" state="hidden" r:id="rId9"/>
    <sheet name="Sheet2" sheetId="14" state="hidden" r:id="rId10"/>
    <sheet name="Gen Ed Requirements" sheetId="15" r:id="rId11"/>
    <sheet name="Sheet3" sheetId="16" state="hidden" r:id="rId12"/>
  </sheets>
  <definedNames>
    <definedName name="Cohort">INPUT!$B$30:$C$31</definedName>
    <definedName name="Expense_increase">Assumptions!$B$10</definedName>
    <definedName name="GAP">Proprietary!$B$7</definedName>
    <definedName name="MaskTable">'Intermediate Calcs'!$E$15:$R$21</definedName>
    <definedName name="_xlnm.Print_Area" localSheetId="4">Assumptions!$A$1:$N$63</definedName>
    <definedName name="_xlnm.Print_Area" localSheetId="10">'Gen Ed Requirements'!$A$1:$P$41</definedName>
    <definedName name="_xlnm.Print_Area" localSheetId="0">INPUT!$A$1:$P$75</definedName>
    <definedName name="_xlnm.Print_Area" localSheetId="6">'Input-Expenses'!$A$4:$K$106</definedName>
    <definedName name="_xlnm.Print_Area" localSheetId="5">'Intermediate-Calculations'!$A$1:$O$59</definedName>
    <definedName name="_xlnm.Print_Area" localSheetId="7">Proprietary!$A$1:$R$39</definedName>
    <definedName name="_xlnm.Print_Area" localSheetId="1">'Report-Details'!$A$2:$U$78</definedName>
    <definedName name="_xlnm.Print_Area" localSheetId="2">'Report-Summary'!$A$1:$G$14</definedName>
    <definedName name="programtype">'developer tab'!$B$7:$B$13</definedName>
    <definedName name="Student1">'Intermediate Calcs'!$D$67:$N$77</definedName>
    <definedName name="Student2">'Intermediate Calcs'!$D$100:$N$110</definedName>
  </definedNames>
  <calcPr calcId="145621"/>
</workbook>
</file>

<file path=xl/calcChain.xml><?xml version="1.0" encoding="utf-8"?>
<calcChain xmlns="http://schemas.openxmlformats.org/spreadsheetml/2006/main">
  <c r="J16" i="7" l="1"/>
  <c r="I16" i="7"/>
  <c r="J10" i="7"/>
  <c r="I10" i="7"/>
  <c r="L34" i="7"/>
  <c r="L24" i="7"/>
  <c r="K24" i="7"/>
  <c r="J24" i="7"/>
  <c r="I24" i="7"/>
  <c r="K34" i="7"/>
  <c r="J34" i="7"/>
  <c r="I34" i="7"/>
  <c r="D69" i="13" l="1"/>
  <c r="D70" i="13"/>
  <c r="A72" i="13"/>
  <c r="D68" i="13"/>
  <c r="C37" i="8" l="1"/>
  <c r="D37" i="8" s="1"/>
  <c r="C10" i="9" l="1"/>
  <c r="E37" i="8"/>
  <c r="B10" i="9"/>
  <c r="C36" i="7"/>
  <c r="C35" i="7"/>
  <c r="D10" i="9" l="1"/>
  <c r="F37" i="8"/>
  <c r="B16" i="7"/>
  <c r="H10" i="7"/>
  <c r="C26" i="7"/>
  <c r="C25" i="7"/>
  <c r="G45" i="6"/>
  <c r="I45" i="6" s="1"/>
  <c r="K45" i="6" s="1"/>
  <c r="E45" i="6"/>
  <c r="C45" i="6"/>
  <c r="A45" i="6"/>
  <c r="G37" i="8" l="1"/>
  <c r="E10" i="9"/>
  <c r="L45" i="6"/>
  <c r="H14" i="13"/>
  <c r="I17" i="12"/>
  <c r="C23" i="6"/>
  <c r="A23" i="6"/>
  <c r="H37" i="8" l="1"/>
  <c r="F10" i="9"/>
  <c r="I37" i="8" l="1"/>
  <c r="G10" i="9"/>
  <c r="S17" i="12"/>
  <c r="S19" i="12"/>
  <c r="S18" i="12"/>
  <c r="I18" i="12"/>
  <c r="J37" i="8" l="1"/>
  <c r="H10" i="9"/>
  <c r="E17" i="13"/>
  <c r="K37" i="8" l="1"/>
  <c r="J10" i="9" s="1"/>
  <c r="I10" i="9"/>
  <c r="D71" i="13"/>
  <c r="D72" i="13" s="1"/>
  <c r="E71" i="13"/>
  <c r="A41" i="6"/>
  <c r="E53" i="8"/>
  <c r="E54" i="8" s="1"/>
  <c r="E55" i="8" s="1"/>
  <c r="F55" i="8" s="1"/>
  <c r="E68" i="13" s="1"/>
  <c r="F68" i="13" s="1"/>
  <c r="F52" i="8"/>
  <c r="F71" i="13" l="1"/>
  <c r="F53" i="8"/>
  <c r="E69" i="13" s="1"/>
  <c r="F69" i="13" s="1"/>
  <c r="F54" i="8"/>
  <c r="E70" i="13" s="1"/>
  <c r="F70" i="13" s="1"/>
  <c r="F72" i="13" l="1"/>
  <c r="C47" i="6" s="1"/>
  <c r="E47" i="6" s="1"/>
  <c r="G47" i="6" s="1"/>
  <c r="I47" i="6" s="1"/>
  <c r="K47" i="6" s="1"/>
  <c r="A73" i="13"/>
  <c r="D73" i="13"/>
  <c r="H38" i="8" l="1"/>
  <c r="I38" i="8"/>
  <c r="J38" i="8"/>
  <c r="K38" i="8"/>
  <c r="B6" i="7" l="1"/>
  <c r="E38" i="13" l="1"/>
  <c r="E32" i="13"/>
  <c r="J31" i="13"/>
  <c r="K31" i="13" s="1"/>
  <c r="L31" i="13" s="1"/>
  <c r="M31" i="13" s="1"/>
  <c r="N31" i="13" s="1"/>
  <c r="C31" i="13"/>
  <c r="J30" i="13"/>
  <c r="C30" i="13"/>
  <c r="G22" i="13"/>
  <c r="F22" i="13" s="1"/>
  <c r="K18" i="13"/>
  <c r="J17" i="13"/>
  <c r="J19" i="13" s="1"/>
  <c r="I17" i="13"/>
  <c r="I19" i="13" s="1"/>
  <c r="H17" i="13"/>
  <c r="H19" i="13" s="1"/>
  <c r="G17" i="13"/>
  <c r="G19" i="13" s="1"/>
  <c r="F17" i="13"/>
  <c r="E19" i="13"/>
  <c r="E16" i="13"/>
  <c r="F16" i="13" l="1"/>
  <c r="E29" i="13"/>
  <c r="F38" i="13"/>
  <c r="G38" i="13" s="1"/>
  <c r="C13" i="6"/>
  <c r="K17" i="13"/>
  <c r="K30" i="13"/>
  <c r="F19" i="13"/>
  <c r="K19" i="13" s="1"/>
  <c r="Q18" i="6" s="1"/>
  <c r="G16" i="13" l="1"/>
  <c r="F29" i="13"/>
  <c r="R135" i="12"/>
  <c r="R136" i="12" s="1"/>
  <c r="G23" i="13"/>
  <c r="L30" i="13"/>
  <c r="K27" i="13"/>
  <c r="S16" i="12"/>
  <c r="S20" i="12"/>
  <c r="S21" i="12"/>
  <c r="S15" i="12"/>
  <c r="H16" i="13" l="1"/>
  <c r="G29" i="13"/>
  <c r="F23" i="13"/>
  <c r="M30" i="13"/>
  <c r="F24" i="8"/>
  <c r="E24" i="8" s="1"/>
  <c r="D24" i="8" s="1"/>
  <c r="C24" i="8" s="1"/>
  <c r="B24" i="8" s="1"/>
  <c r="F22" i="8"/>
  <c r="E22" i="8" s="1"/>
  <c r="D22" i="8" s="1"/>
  <c r="C22" i="8" s="1"/>
  <c r="B22" i="8" s="1"/>
  <c r="G24" i="8"/>
  <c r="B35" i="7"/>
  <c r="C34" i="7"/>
  <c r="D34" i="7" s="1"/>
  <c r="E34" i="7" s="1"/>
  <c r="F34" i="7" s="1"/>
  <c r="G34" i="7" s="1"/>
  <c r="H34" i="7" s="1"/>
  <c r="J32" i="7"/>
  <c r="I32" i="7" s="1"/>
  <c r="H32" i="7" s="1"/>
  <c r="G32" i="7" s="1"/>
  <c r="F32" i="7" s="1"/>
  <c r="E32" i="7" s="1"/>
  <c r="D32" i="7" s="1"/>
  <c r="C32" i="7" s="1"/>
  <c r="B32" i="7" s="1"/>
  <c r="K31" i="7"/>
  <c r="F23" i="8" s="1"/>
  <c r="E23" i="8" s="1"/>
  <c r="D23" i="8" s="1"/>
  <c r="C23" i="8" s="1"/>
  <c r="B23" i="8" s="1"/>
  <c r="J30" i="7"/>
  <c r="I30" i="7" s="1"/>
  <c r="R154" i="12"/>
  <c r="E67" i="12"/>
  <c r="E66" i="12"/>
  <c r="P131" i="12"/>
  <c r="P129" i="12"/>
  <c r="P130" i="12" s="1"/>
  <c r="P113" i="12"/>
  <c r="N67" i="12"/>
  <c r="M67" i="12"/>
  <c r="M77" i="12" s="1"/>
  <c r="L67" i="12"/>
  <c r="L109" i="12" s="1"/>
  <c r="K67" i="12"/>
  <c r="K109" i="12" s="1"/>
  <c r="J67" i="12"/>
  <c r="I67" i="12"/>
  <c r="I85" i="12" s="1"/>
  <c r="I94" i="12" s="1"/>
  <c r="H67" i="12"/>
  <c r="H120" i="12" s="1"/>
  <c r="G67" i="12"/>
  <c r="G76" i="12" s="1"/>
  <c r="F67" i="12"/>
  <c r="E62" i="12"/>
  <c r="C62" i="12"/>
  <c r="E61" i="12"/>
  <c r="C61" i="12"/>
  <c r="C57" i="12"/>
  <c r="C56" i="12"/>
  <c r="E53" i="12"/>
  <c r="C52" i="12"/>
  <c r="B52" i="12"/>
  <c r="B57" i="12" s="1"/>
  <c r="B62" i="12" s="1"/>
  <c r="C51" i="12"/>
  <c r="B51" i="12"/>
  <c r="B56" i="12" s="1"/>
  <c r="B61" i="12" s="1"/>
  <c r="C102" i="12"/>
  <c r="P85" i="12"/>
  <c r="Q85" i="12" s="1"/>
  <c r="P84" i="12"/>
  <c r="Q84" i="12" s="1"/>
  <c r="P83" i="12"/>
  <c r="Q83" i="12" s="1"/>
  <c r="P82" i="12"/>
  <c r="Q82" i="12" s="1"/>
  <c r="P81" i="12"/>
  <c r="Q81" i="12" s="1"/>
  <c r="I21" i="12"/>
  <c r="I20" i="12"/>
  <c r="I16" i="12"/>
  <c r="I15" i="12"/>
  <c r="I16" i="13" l="1"/>
  <c r="H29" i="13"/>
  <c r="Q91" i="12"/>
  <c r="P91" i="12"/>
  <c r="Q90" i="12"/>
  <c r="P90" i="12"/>
  <c r="Q92" i="12"/>
  <c r="P92" i="12"/>
  <c r="Q93" i="12"/>
  <c r="P93" i="12"/>
  <c r="G22" i="8"/>
  <c r="G23" i="8" s="1"/>
  <c r="N30" i="13"/>
  <c r="R159" i="12"/>
  <c r="S154" i="12"/>
  <c r="H30" i="7"/>
  <c r="I31" i="7"/>
  <c r="J31" i="7"/>
  <c r="E99" i="12"/>
  <c r="E127" i="12" s="1"/>
  <c r="E150" i="12" s="1"/>
  <c r="E158" i="12" s="1"/>
  <c r="F66" i="12"/>
  <c r="E41" i="12"/>
  <c r="F41" i="12" s="1"/>
  <c r="G41" i="12" s="1"/>
  <c r="H41" i="12" s="1"/>
  <c r="I41" i="12" s="1"/>
  <c r="J41" i="12" s="1"/>
  <c r="K41" i="12" s="1"/>
  <c r="L41" i="12" s="1"/>
  <c r="M41" i="12" s="1"/>
  <c r="N41" i="12" s="1"/>
  <c r="E114" i="12"/>
  <c r="E70" i="12"/>
  <c r="E63" i="12"/>
  <c r="E33" i="13" s="1"/>
  <c r="E116" i="12"/>
  <c r="E69" i="12"/>
  <c r="I77" i="12"/>
  <c r="I74" i="12"/>
  <c r="E82" i="12"/>
  <c r="I122" i="12"/>
  <c r="E100" i="12"/>
  <c r="E101" i="12" s="1"/>
  <c r="F101" i="12" s="1"/>
  <c r="C103" i="12"/>
  <c r="H109" i="12"/>
  <c r="H110" i="12"/>
  <c r="H121" i="12"/>
  <c r="E71" i="12"/>
  <c r="H74" i="12"/>
  <c r="H76" i="12"/>
  <c r="L77" i="12"/>
  <c r="H84" i="12"/>
  <c r="I100" i="12"/>
  <c r="H105" i="12"/>
  <c r="L110" i="12"/>
  <c r="H117" i="12"/>
  <c r="L121" i="12"/>
  <c r="H73" i="12"/>
  <c r="H72" i="12"/>
  <c r="L76" i="12"/>
  <c r="H85" i="12"/>
  <c r="H94" i="12" s="1"/>
  <c r="C101" i="12"/>
  <c r="H106" i="12"/>
  <c r="H119" i="12"/>
  <c r="E73" i="12"/>
  <c r="E75" i="12"/>
  <c r="H77" i="12"/>
  <c r="E81" i="12"/>
  <c r="H107" i="12"/>
  <c r="E110" i="12"/>
  <c r="L75" i="12"/>
  <c r="C75" i="12"/>
  <c r="C71" i="12"/>
  <c r="I56" i="12"/>
  <c r="F120" i="12"/>
  <c r="F116" i="12"/>
  <c r="F119" i="12"/>
  <c r="F118" i="12"/>
  <c r="F117" i="12"/>
  <c r="F110" i="12"/>
  <c r="F106" i="12"/>
  <c r="F102" i="12"/>
  <c r="F113" i="12" s="1"/>
  <c r="F84" i="12"/>
  <c r="F77" i="12"/>
  <c r="F73" i="12"/>
  <c r="F69" i="12"/>
  <c r="F115" i="12"/>
  <c r="F105" i="12"/>
  <c r="F104" i="12"/>
  <c r="F103" i="12"/>
  <c r="F85" i="12"/>
  <c r="F94" i="12" s="1"/>
  <c r="F122" i="12"/>
  <c r="F100" i="12"/>
  <c r="F83" i="12"/>
  <c r="F82" i="12"/>
  <c r="F76" i="12"/>
  <c r="F75" i="12"/>
  <c r="F74" i="12"/>
  <c r="J120" i="12"/>
  <c r="J122" i="12"/>
  <c r="J121" i="12"/>
  <c r="J110" i="12"/>
  <c r="J106" i="12"/>
  <c r="J113" i="12" s="1"/>
  <c r="J77" i="12"/>
  <c r="J73" i="12"/>
  <c r="J109" i="12"/>
  <c r="J108" i="12"/>
  <c r="J107" i="12"/>
  <c r="J119" i="12"/>
  <c r="N110" i="12"/>
  <c r="N113" i="12" s="1"/>
  <c r="C73" i="12"/>
  <c r="J75" i="12"/>
  <c r="K56" i="12"/>
  <c r="G56" i="12"/>
  <c r="E56" i="12"/>
  <c r="J56" i="12"/>
  <c r="G121" i="12"/>
  <c r="G117" i="12"/>
  <c r="G116" i="12"/>
  <c r="G107" i="12"/>
  <c r="G103" i="12"/>
  <c r="G113" i="12" s="1"/>
  <c r="G85" i="12"/>
  <c r="G94" i="12" s="1"/>
  <c r="G74" i="12"/>
  <c r="G70" i="12"/>
  <c r="G122" i="12"/>
  <c r="G100" i="12"/>
  <c r="G84" i="12"/>
  <c r="G83" i="12"/>
  <c r="G120" i="12"/>
  <c r="G118" i="12"/>
  <c r="G73" i="12"/>
  <c r="G72" i="12"/>
  <c r="G71" i="12"/>
  <c r="K121" i="12"/>
  <c r="K120" i="12"/>
  <c r="K107" i="12"/>
  <c r="K113" i="12" s="1"/>
  <c r="K74" i="12"/>
  <c r="K100" i="12"/>
  <c r="K77" i="12"/>
  <c r="K76" i="12"/>
  <c r="K75" i="12"/>
  <c r="C68" i="12"/>
  <c r="C69" i="12"/>
  <c r="C70" i="12"/>
  <c r="F71" i="12"/>
  <c r="C77" i="12"/>
  <c r="G104" i="12"/>
  <c r="G105" i="12"/>
  <c r="G106" i="12"/>
  <c r="F107" i="12"/>
  <c r="F108" i="12"/>
  <c r="F109" i="12"/>
  <c r="K110" i="12"/>
  <c r="F121" i="12"/>
  <c r="C108" i="12"/>
  <c r="C104" i="12"/>
  <c r="C110" i="12"/>
  <c r="C109" i="12"/>
  <c r="C107" i="12"/>
  <c r="C106" i="12"/>
  <c r="C105" i="12"/>
  <c r="F56" i="12"/>
  <c r="L56" i="12"/>
  <c r="C72" i="12"/>
  <c r="C74" i="12"/>
  <c r="J74" i="12"/>
  <c r="G75" i="12"/>
  <c r="J76" i="12"/>
  <c r="G77" i="12"/>
  <c r="J100" i="12"/>
  <c r="G108" i="12"/>
  <c r="G109" i="12"/>
  <c r="G119" i="12"/>
  <c r="H56" i="12"/>
  <c r="E119" i="12"/>
  <c r="E115" i="12"/>
  <c r="E122" i="12"/>
  <c r="E121" i="12"/>
  <c r="E120" i="12"/>
  <c r="E109" i="12"/>
  <c r="E105" i="12"/>
  <c r="E83" i="12"/>
  <c r="E76" i="12"/>
  <c r="E72" i="12"/>
  <c r="E68" i="12"/>
  <c r="E117" i="12"/>
  <c r="E108" i="12"/>
  <c r="E107" i="12"/>
  <c r="E106" i="12"/>
  <c r="E104" i="12"/>
  <c r="E103" i="12"/>
  <c r="E102" i="12"/>
  <c r="E85" i="12"/>
  <c r="E94" i="12" s="1"/>
  <c r="E84" i="12"/>
  <c r="E77" i="12"/>
  <c r="I119" i="12"/>
  <c r="I109" i="12"/>
  <c r="I105" i="12"/>
  <c r="I113" i="12" s="1"/>
  <c r="I76" i="12"/>
  <c r="I72" i="12"/>
  <c r="I118" i="12"/>
  <c r="I110" i="12"/>
  <c r="I121" i="12"/>
  <c r="I108" i="12"/>
  <c r="I107" i="12"/>
  <c r="I106" i="12"/>
  <c r="M109" i="12"/>
  <c r="M113" i="12" s="1"/>
  <c r="M100" i="12"/>
  <c r="M122" i="12"/>
  <c r="M110" i="12"/>
  <c r="F70" i="12"/>
  <c r="F72" i="12"/>
  <c r="I73" i="12"/>
  <c r="E74" i="12"/>
  <c r="I75" i="12"/>
  <c r="C76" i="12"/>
  <c r="N100" i="12"/>
  <c r="K108" i="12"/>
  <c r="G110" i="12"/>
  <c r="E118" i="12"/>
  <c r="I120" i="12"/>
  <c r="K122" i="12"/>
  <c r="H122" i="12"/>
  <c r="H118" i="12"/>
  <c r="L122" i="12"/>
  <c r="H71" i="12"/>
  <c r="H75" i="12"/>
  <c r="H100" i="12"/>
  <c r="L100" i="12"/>
  <c r="H104" i="12"/>
  <c r="H113" i="12" s="1"/>
  <c r="H108" i="12"/>
  <c r="L108" i="12"/>
  <c r="L113" i="12" s="1"/>
  <c r="E91" i="12" l="1"/>
  <c r="G93" i="12"/>
  <c r="F93" i="12"/>
  <c r="J16" i="13"/>
  <c r="I29" i="13"/>
  <c r="E92" i="12"/>
  <c r="F92" i="12"/>
  <c r="G92" i="12"/>
  <c r="F91" i="12"/>
  <c r="E90" i="12"/>
  <c r="H93" i="12"/>
  <c r="E93" i="12"/>
  <c r="I80" i="12"/>
  <c r="H80" i="12"/>
  <c r="F80" i="12"/>
  <c r="H70" i="12"/>
  <c r="L80" i="12"/>
  <c r="L74" i="12"/>
  <c r="M74" i="12" s="1"/>
  <c r="K73" i="12"/>
  <c r="E113" i="12"/>
  <c r="E123" i="12" s="1"/>
  <c r="E36" i="7"/>
  <c r="H24" i="8"/>
  <c r="E35" i="7"/>
  <c r="H22" i="8"/>
  <c r="T154" i="12"/>
  <c r="S159" i="12"/>
  <c r="H31" i="7"/>
  <c r="G30" i="7"/>
  <c r="F99" i="12"/>
  <c r="F127" i="12" s="1"/>
  <c r="F150" i="12" s="1"/>
  <c r="F158" i="12" s="1"/>
  <c r="G66" i="12"/>
  <c r="M56" i="12"/>
  <c r="G69" i="12"/>
  <c r="E111" i="12"/>
  <c r="E136" i="12" s="1"/>
  <c r="E78" i="12"/>
  <c r="E80" i="12"/>
  <c r="J72" i="12"/>
  <c r="K80" i="12"/>
  <c r="G80" i="12"/>
  <c r="J80" i="12"/>
  <c r="F51" i="12"/>
  <c r="P80" i="12"/>
  <c r="Q80" i="12" s="1"/>
  <c r="I71" i="12"/>
  <c r="F68" i="12"/>
  <c r="M75" i="12"/>
  <c r="N56" i="12"/>
  <c r="B49" i="7"/>
  <c r="D49" i="7"/>
  <c r="E49" i="7"/>
  <c r="F49" i="7"/>
  <c r="G49" i="7"/>
  <c r="H49" i="7"/>
  <c r="I49" i="7"/>
  <c r="J49" i="7"/>
  <c r="A47" i="6"/>
  <c r="G46" i="6"/>
  <c r="I46" i="6" s="1"/>
  <c r="K46" i="6" s="1"/>
  <c r="E46" i="6"/>
  <c r="C46" i="6"/>
  <c r="P32" i="6"/>
  <c r="C16" i="6"/>
  <c r="H23" i="8" l="1"/>
  <c r="Q89" i="12"/>
  <c r="G89" i="12" s="1"/>
  <c r="P89" i="12"/>
  <c r="H81" i="12"/>
  <c r="H90" i="12" s="1"/>
  <c r="I70" i="12"/>
  <c r="L73" i="12"/>
  <c r="L81" i="12"/>
  <c r="L90" i="12" s="1"/>
  <c r="H69" i="12"/>
  <c r="K81" i="12"/>
  <c r="K90" i="12" s="1"/>
  <c r="F36" i="7"/>
  <c r="G36" i="7" s="1"/>
  <c r="H36" i="7" s="1"/>
  <c r="I36" i="7" s="1"/>
  <c r="J36" i="7" s="1"/>
  <c r="K36" i="7" s="1"/>
  <c r="L36" i="7" s="1"/>
  <c r="I24" i="8"/>
  <c r="F35" i="7"/>
  <c r="I22" i="8"/>
  <c r="I23" i="8" s="1"/>
  <c r="U154" i="12"/>
  <c r="T159" i="12"/>
  <c r="R133" i="12"/>
  <c r="R134" i="12" s="1"/>
  <c r="E137" i="12" s="1"/>
  <c r="F30" i="7"/>
  <c r="G31" i="7"/>
  <c r="H66" i="12"/>
  <c r="G99" i="12"/>
  <c r="G127" i="12" s="1"/>
  <c r="G150" i="12" s="1"/>
  <c r="G158" i="12" s="1"/>
  <c r="G81" i="12"/>
  <c r="G90" i="12" s="1"/>
  <c r="I81" i="12"/>
  <c r="I90" i="12" s="1"/>
  <c r="J71" i="12"/>
  <c r="F61" i="12"/>
  <c r="E86" i="12"/>
  <c r="M82" i="12"/>
  <c r="M91" i="12" s="1"/>
  <c r="N74" i="12"/>
  <c r="F78" i="12"/>
  <c r="F81" i="12"/>
  <c r="G68" i="12"/>
  <c r="P114" i="12"/>
  <c r="K72" i="12"/>
  <c r="J81" i="12"/>
  <c r="J90" i="12" s="1"/>
  <c r="M76" i="12"/>
  <c r="M81" i="12"/>
  <c r="M90" i="12" s="1"/>
  <c r="N75" i="12"/>
  <c r="E89" i="12" l="1"/>
  <c r="E97" i="12" s="1"/>
  <c r="E56" i="13" s="1"/>
  <c r="H89" i="12"/>
  <c r="L89" i="12"/>
  <c r="K89" i="12"/>
  <c r="J89" i="12"/>
  <c r="I89" i="12"/>
  <c r="F89" i="12"/>
  <c r="F90" i="12"/>
  <c r="L82" i="12"/>
  <c r="L91" i="12" s="1"/>
  <c r="M73" i="12"/>
  <c r="N73" i="12" s="1"/>
  <c r="J70" i="12"/>
  <c r="I82" i="12"/>
  <c r="I91" i="12" s="1"/>
  <c r="I69" i="12"/>
  <c r="N83" i="12"/>
  <c r="N92" i="12" s="1"/>
  <c r="N82" i="12"/>
  <c r="N91" i="12" s="1"/>
  <c r="H82" i="12"/>
  <c r="H91" i="12" s="1"/>
  <c r="E128" i="12"/>
  <c r="G35" i="7"/>
  <c r="J22" i="8"/>
  <c r="J23" i="8" s="1"/>
  <c r="J24" i="8"/>
  <c r="V154" i="12"/>
  <c r="U159" i="12"/>
  <c r="E30" i="7"/>
  <c r="F31" i="7"/>
  <c r="I66" i="12"/>
  <c r="H99" i="12"/>
  <c r="H127" i="12" s="1"/>
  <c r="H150" i="12" s="1"/>
  <c r="H158" i="12" s="1"/>
  <c r="E138" i="12"/>
  <c r="E144" i="12"/>
  <c r="F137" i="12"/>
  <c r="K82" i="12"/>
  <c r="K91" i="12" s="1"/>
  <c r="L72" i="12"/>
  <c r="G78" i="12"/>
  <c r="H68" i="12"/>
  <c r="G82" i="12"/>
  <c r="G91" i="12" s="1"/>
  <c r="G95" i="12" s="1"/>
  <c r="N77" i="12"/>
  <c r="F86" i="12"/>
  <c r="G51" i="12"/>
  <c r="G61" i="12" s="1"/>
  <c r="K71" i="12"/>
  <c r="J82" i="12"/>
  <c r="J91" i="12" s="1"/>
  <c r="N76" i="12"/>
  <c r="M80" i="12"/>
  <c r="M89" i="12" s="1"/>
  <c r="L107" i="12"/>
  <c r="L114" i="12" s="1"/>
  <c r="I104" i="12"/>
  <c r="I114" i="12" s="1"/>
  <c r="E57" i="12"/>
  <c r="G57" i="12"/>
  <c r="G58" i="12" s="1"/>
  <c r="H103" i="12"/>
  <c r="H114" i="12" s="1"/>
  <c r="M108" i="12"/>
  <c r="M114" i="12" s="1"/>
  <c r="J105" i="12"/>
  <c r="J114" i="12" s="1"/>
  <c r="G101" i="12"/>
  <c r="N109" i="12"/>
  <c r="N114" i="12" s="1"/>
  <c r="G102" i="12"/>
  <c r="G114" i="12" s="1"/>
  <c r="K106" i="12"/>
  <c r="K114" i="12" s="1"/>
  <c r="P115" i="12"/>
  <c r="K22" i="8" l="1"/>
  <c r="H35" i="7"/>
  <c r="K24" i="8"/>
  <c r="G97" i="12"/>
  <c r="G142" i="12" s="1"/>
  <c r="F97" i="12"/>
  <c r="G135" i="12"/>
  <c r="E95" i="12"/>
  <c r="F95" i="12"/>
  <c r="J83" i="12"/>
  <c r="J92" i="12" s="1"/>
  <c r="M83" i="12"/>
  <c r="M92" i="12" s="1"/>
  <c r="K70" i="12"/>
  <c r="L70" i="12" s="1"/>
  <c r="J69" i="12"/>
  <c r="K69" i="12" s="1"/>
  <c r="I83" i="12"/>
  <c r="I92" i="12" s="1"/>
  <c r="N80" i="12"/>
  <c r="N89" i="12" s="1"/>
  <c r="N81" i="12"/>
  <c r="N90" i="12" s="1"/>
  <c r="N84" i="12"/>
  <c r="N93" i="12" s="1"/>
  <c r="V159" i="12"/>
  <c r="F57" i="12"/>
  <c r="F58" i="12" s="1"/>
  <c r="C7" i="6"/>
  <c r="K23" i="8"/>
  <c r="E31" i="7"/>
  <c r="D30" i="7"/>
  <c r="J66" i="12"/>
  <c r="I99" i="12"/>
  <c r="I127" i="12" s="1"/>
  <c r="I150" i="12" s="1"/>
  <c r="I158" i="12" s="1"/>
  <c r="H57" i="12"/>
  <c r="H58" i="12" s="1"/>
  <c r="N57" i="12"/>
  <c r="N58" i="12" s="1"/>
  <c r="J57" i="12"/>
  <c r="J58" i="12" s="1"/>
  <c r="K57" i="12"/>
  <c r="K58" i="12" s="1"/>
  <c r="I57" i="12"/>
  <c r="I58" i="12" s="1"/>
  <c r="L57" i="12"/>
  <c r="L58" i="12" s="1"/>
  <c r="G137" i="12"/>
  <c r="F144" i="12"/>
  <c r="M57" i="12"/>
  <c r="M58" i="12" s="1"/>
  <c r="H102" i="12"/>
  <c r="H115" i="12" s="1"/>
  <c r="K105" i="12"/>
  <c r="K115" i="12" s="1"/>
  <c r="J104" i="12"/>
  <c r="G111" i="12"/>
  <c r="G136" i="12" s="1"/>
  <c r="G115" i="12"/>
  <c r="G123" i="12" s="1"/>
  <c r="G86" i="12"/>
  <c r="P116" i="12"/>
  <c r="N108" i="12"/>
  <c r="N115" i="12" s="1"/>
  <c r="I103" i="12"/>
  <c r="L71" i="12"/>
  <c r="K83" i="12"/>
  <c r="K92" i="12" s="1"/>
  <c r="H78" i="12"/>
  <c r="H83" i="12"/>
  <c r="I68" i="12"/>
  <c r="L83" i="12"/>
  <c r="L92" i="12" s="1"/>
  <c r="M72" i="12"/>
  <c r="H51" i="12"/>
  <c r="H61" i="12" s="1"/>
  <c r="F111" i="12"/>
  <c r="F136" i="12" s="1"/>
  <c r="F114" i="12"/>
  <c r="M107" i="12"/>
  <c r="H101" i="12"/>
  <c r="F52" i="12"/>
  <c r="E58" i="12"/>
  <c r="L106" i="12"/>
  <c r="D10" i="7"/>
  <c r="E10" i="7"/>
  <c r="F10" i="7"/>
  <c r="G10" i="7"/>
  <c r="C10" i="7"/>
  <c r="F19" i="8"/>
  <c r="E19" i="8" s="1"/>
  <c r="D19" i="8" s="1"/>
  <c r="C19" i="8" s="1"/>
  <c r="B19" i="8" s="1"/>
  <c r="F17" i="8"/>
  <c r="E17" i="8" s="1"/>
  <c r="D17" i="8" s="1"/>
  <c r="C17" i="8" s="1"/>
  <c r="B17" i="8" s="1"/>
  <c r="L22" i="8" l="1"/>
  <c r="L23" i="8" s="1"/>
  <c r="I35" i="7"/>
  <c r="J35" i="7" s="1"/>
  <c r="K35" i="7" s="1"/>
  <c r="L35" i="7" s="1"/>
  <c r="L24" i="8"/>
  <c r="M24" i="8" s="1"/>
  <c r="N24" i="8" s="1"/>
  <c r="O24" i="8" s="1"/>
  <c r="F40" i="13"/>
  <c r="F52" i="13"/>
  <c r="G52" i="13" s="1"/>
  <c r="F48" i="13"/>
  <c r="F43" i="13"/>
  <c r="G43" i="13" s="1"/>
  <c r="F135" i="12"/>
  <c r="E6" i="6" s="1"/>
  <c r="F142" i="12"/>
  <c r="E135" i="12"/>
  <c r="C6" i="6" s="1"/>
  <c r="E142" i="12"/>
  <c r="H92" i="12"/>
  <c r="H97" i="12" s="1"/>
  <c r="K84" i="12"/>
  <c r="K93" i="12" s="1"/>
  <c r="J84" i="12"/>
  <c r="J93" i="12" s="1"/>
  <c r="L69" i="12"/>
  <c r="M69" i="12" s="1"/>
  <c r="N69" i="12" s="1"/>
  <c r="L85" i="12"/>
  <c r="L94" i="12" s="1"/>
  <c r="J68" i="12"/>
  <c r="J78" i="12" s="1"/>
  <c r="M71" i="12"/>
  <c r="N71" i="12" s="1"/>
  <c r="M70" i="12"/>
  <c r="N70" i="12" s="1"/>
  <c r="K85" i="12"/>
  <c r="K94" i="12" s="1"/>
  <c r="F55" i="13"/>
  <c r="G55" i="13" s="1"/>
  <c r="F51" i="13"/>
  <c r="G51" i="13" s="1"/>
  <c r="F47" i="13"/>
  <c r="G47" i="13" s="1"/>
  <c r="F42" i="13"/>
  <c r="G42" i="13" s="1"/>
  <c r="F49" i="13"/>
  <c r="G49" i="13" s="1"/>
  <c r="F54" i="13"/>
  <c r="G54" i="13" s="1"/>
  <c r="F46" i="13"/>
  <c r="G46" i="13" s="1"/>
  <c r="F41" i="13"/>
  <c r="G41" i="13" s="1"/>
  <c r="F53" i="13"/>
  <c r="G53" i="13" s="1"/>
  <c r="F39" i="13"/>
  <c r="G39" i="13" s="1"/>
  <c r="F44" i="13"/>
  <c r="G44" i="13" s="1"/>
  <c r="F45" i="13"/>
  <c r="G45" i="13" s="1"/>
  <c r="G48" i="13"/>
  <c r="G56" i="13"/>
  <c r="F56" i="13"/>
  <c r="G6" i="6"/>
  <c r="L105" i="12"/>
  <c r="M105" i="12" s="1"/>
  <c r="M22" i="8"/>
  <c r="D31" i="7"/>
  <c r="C30" i="7"/>
  <c r="K66" i="12"/>
  <c r="J99" i="12"/>
  <c r="J127" i="12" s="1"/>
  <c r="J150" i="12" s="1"/>
  <c r="J158" i="12" s="1"/>
  <c r="F138" i="12"/>
  <c r="G144" i="12"/>
  <c r="H137" i="12"/>
  <c r="G138" i="12"/>
  <c r="M84" i="12"/>
  <c r="M93" i="12" s="1"/>
  <c r="N72" i="12"/>
  <c r="I102" i="12"/>
  <c r="I116" i="12" s="1"/>
  <c r="J115" i="12"/>
  <c r="K104" i="12"/>
  <c r="I51" i="12"/>
  <c r="I61" i="12" s="1"/>
  <c r="L84" i="12"/>
  <c r="L93" i="12" s="1"/>
  <c r="L115" i="12"/>
  <c r="M106" i="12"/>
  <c r="F62" i="12"/>
  <c r="F53" i="12"/>
  <c r="H86" i="12"/>
  <c r="H111" i="12"/>
  <c r="H136" i="12" s="1"/>
  <c r="H116" i="12"/>
  <c r="I101" i="12"/>
  <c r="F123" i="12"/>
  <c r="F128" i="12" s="1"/>
  <c r="I115" i="12"/>
  <c r="J103" i="12"/>
  <c r="G128" i="12"/>
  <c r="M115" i="12"/>
  <c r="N107" i="12"/>
  <c r="N116" i="12" s="1"/>
  <c r="I84" i="12"/>
  <c r="I93" i="12" s="1"/>
  <c r="I95" i="12" s="1"/>
  <c r="I78" i="12"/>
  <c r="P117" i="12"/>
  <c r="L47" i="6"/>
  <c r="J22" i="7"/>
  <c r="I22" i="7" s="1"/>
  <c r="H22" i="7" s="1"/>
  <c r="G22" i="7" s="1"/>
  <c r="F22" i="7" s="1"/>
  <c r="E22" i="7" s="1"/>
  <c r="D22" i="7" s="1"/>
  <c r="C22" i="7" s="1"/>
  <c r="B22" i="7" s="1"/>
  <c r="J20" i="7"/>
  <c r="J21" i="7" s="1"/>
  <c r="K21" i="7"/>
  <c r="F18" i="8" s="1"/>
  <c r="E18" i="8" s="1"/>
  <c r="D18" i="8" s="1"/>
  <c r="C18" i="8" s="1"/>
  <c r="B18" i="8" s="1"/>
  <c r="G40" i="13" l="1"/>
  <c r="G23" i="6" s="1"/>
  <c r="I23" i="6" s="1"/>
  <c r="K23" i="6" s="1"/>
  <c r="E23" i="6"/>
  <c r="L23" i="6" s="1"/>
  <c r="L97" i="12"/>
  <c r="K97" i="12"/>
  <c r="I97" i="12"/>
  <c r="I142" i="12" s="1"/>
  <c r="E139" i="12"/>
  <c r="I135" i="12"/>
  <c r="H95" i="12"/>
  <c r="L95" i="12"/>
  <c r="K95" i="12"/>
  <c r="K86" i="12"/>
  <c r="M85" i="12"/>
  <c r="L86" i="12"/>
  <c r="K68" i="12"/>
  <c r="K78" i="12" s="1"/>
  <c r="J85" i="12"/>
  <c r="J94" i="12" s="1"/>
  <c r="J95" i="12" s="1"/>
  <c r="N85" i="12"/>
  <c r="N94" i="12" s="1"/>
  <c r="N97" i="12" s="1"/>
  <c r="E7" i="6"/>
  <c r="G139" i="12"/>
  <c r="G7" i="6"/>
  <c r="L116" i="12"/>
  <c r="M23" i="8"/>
  <c r="N22" i="8"/>
  <c r="I20" i="7"/>
  <c r="I21" i="7" s="1"/>
  <c r="B30" i="7"/>
  <c r="B31" i="7" s="1"/>
  <c r="C31" i="7"/>
  <c r="L66" i="12"/>
  <c r="K99" i="12"/>
  <c r="K127" i="12" s="1"/>
  <c r="K150" i="12" s="1"/>
  <c r="K158" i="12" s="1"/>
  <c r="J102" i="12"/>
  <c r="J117" i="12" s="1"/>
  <c r="F139" i="12"/>
  <c r="J137" i="12"/>
  <c r="H144" i="12"/>
  <c r="I137" i="12"/>
  <c r="H138" i="12"/>
  <c r="K116" i="12"/>
  <c r="L104" i="12"/>
  <c r="P118" i="12"/>
  <c r="I86" i="12"/>
  <c r="H123" i="12"/>
  <c r="H128" i="12" s="1"/>
  <c r="J116" i="12"/>
  <c r="K103" i="12"/>
  <c r="M116" i="12"/>
  <c r="N106" i="12"/>
  <c r="N117" i="12" s="1"/>
  <c r="J51" i="12"/>
  <c r="I111" i="12"/>
  <c r="I136" i="12" s="1"/>
  <c r="I117" i="12"/>
  <c r="I123" i="12" s="1"/>
  <c r="J101" i="12"/>
  <c r="M117" i="12"/>
  <c r="N105" i="12"/>
  <c r="N118" i="12" s="1"/>
  <c r="G52" i="12"/>
  <c r="G53" i="12" s="1"/>
  <c r="F63" i="12"/>
  <c r="G16" i="6"/>
  <c r="I16" i="6" s="1"/>
  <c r="K16" i="6" s="1"/>
  <c r="E16" i="6"/>
  <c r="J40" i="8"/>
  <c r="J42" i="8" s="1"/>
  <c r="J44" i="8" s="1"/>
  <c r="J46" i="8" s="1"/>
  <c r="J39" i="8"/>
  <c r="I11" i="9" s="1"/>
  <c r="J20" i="9" s="1"/>
  <c r="J23" i="9" s="1"/>
  <c r="J26" i="9" s="1"/>
  <c r="J29" i="9" s="1"/>
  <c r="J32" i="9" s="1"/>
  <c r="J35" i="9" s="1"/>
  <c r="J97" i="12" l="1"/>
  <c r="J142" i="12" s="1"/>
  <c r="H135" i="12"/>
  <c r="I6" i="6" s="1"/>
  <c r="H142" i="12"/>
  <c r="L135" i="12"/>
  <c r="L142" i="12"/>
  <c r="K135" i="12"/>
  <c r="K142" i="12"/>
  <c r="J135" i="12"/>
  <c r="F32" i="13"/>
  <c r="F64" i="12" s="1"/>
  <c r="F33" i="13"/>
  <c r="N95" i="12"/>
  <c r="M94" i="12"/>
  <c r="M97" i="12" s="1"/>
  <c r="M86" i="12"/>
  <c r="L68" i="12"/>
  <c r="M68" i="12" s="1"/>
  <c r="N86" i="12"/>
  <c r="J86" i="12"/>
  <c r="I7" i="6"/>
  <c r="K6" i="6"/>
  <c r="N23" i="8"/>
  <c r="O22" i="8"/>
  <c r="O23" i="8" s="1"/>
  <c r="H20" i="7"/>
  <c r="G20" i="7" s="1"/>
  <c r="J41" i="8"/>
  <c r="J43" i="8" s="1"/>
  <c r="J45" i="8" s="1"/>
  <c r="J47" i="8" s="1"/>
  <c r="M66" i="12"/>
  <c r="L99" i="12"/>
  <c r="L127" i="12" s="1"/>
  <c r="L150" i="12" s="1"/>
  <c r="L158" i="12" s="1"/>
  <c r="K102" i="12"/>
  <c r="L102" i="12" s="1"/>
  <c r="I144" i="12"/>
  <c r="I138" i="12"/>
  <c r="J144" i="12"/>
  <c r="K137" i="12"/>
  <c r="K153" i="12" s="1"/>
  <c r="G62" i="12"/>
  <c r="G63" i="12" s="1"/>
  <c r="L117" i="12"/>
  <c r="M104" i="12"/>
  <c r="J111" i="12"/>
  <c r="J136" i="12" s="1"/>
  <c r="J118" i="12"/>
  <c r="K101" i="12"/>
  <c r="J61" i="12"/>
  <c r="I128" i="12"/>
  <c r="P123" i="12"/>
  <c r="K117" i="12"/>
  <c r="L103" i="12"/>
  <c r="P119" i="12"/>
  <c r="P120" i="12" s="1"/>
  <c r="J19" i="9"/>
  <c r="J22" i="9" s="1"/>
  <c r="J25" i="9" s="1"/>
  <c r="J28" i="9" s="1"/>
  <c r="J31" i="9" s="1"/>
  <c r="J34" i="9" s="1"/>
  <c r="L16" i="6"/>
  <c r="C39" i="8"/>
  <c r="C19" i="9" s="1"/>
  <c r="D39" i="8"/>
  <c r="C11" i="9" s="1"/>
  <c r="E39" i="8"/>
  <c r="F39" i="8"/>
  <c r="E11" i="9" s="1"/>
  <c r="F20" i="9" s="1"/>
  <c r="G39" i="8"/>
  <c r="F11" i="9" s="1"/>
  <c r="G20" i="9" s="1"/>
  <c r="H39" i="8"/>
  <c r="I39" i="8"/>
  <c r="K39" i="8"/>
  <c r="J11" i="9"/>
  <c r="K40" i="8"/>
  <c r="K42" i="8" s="1"/>
  <c r="K44" i="8" s="1"/>
  <c r="K46" i="8" s="1"/>
  <c r="I40" i="8"/>
  <c r="I42" i="8" s="1"/>
  <c r="I44" i="8" s="1"/>
  <c r="I46" i="8" s="1"/>
  <c r="H40" i="8"/>
  <c r="H42" i="8" s="1"/>
  <c r="H44" i="8" s="1"/>
  <c r="H46" i="8" s="1"/>
  <c r="G40" i="8"/>
  <c r="G42" i="8" s="1"/>
  <c r="G44" i="8" s="1"/>
  <c r="G46" i="8" s="1"/>
  <c r="F40" i="8"/>
  <c r="F42" i="8" s="1"/>
  <c r="F44" i="8" s="1"/>
  <c r="F46" i="8" s="1"/>
  <c r="E40" i="8"/>
  <c r="E42" i="8" s="1"/>
  <c r="E44" i="8" s="1"/>
  <c r="E46" i="8" s="1"/>
  <c r="D40" i="8"/>
  <c r="D42" i="8" s="1"/>
  <c r="D44" i="8" s="1"/>
  <c r="D46" i="8" s="1"/>
  <c r="C40" i="8"/>
  <c r="C42" i="8" s="1"/>
  <c r="C44" i="8" s="1"/>
  <c r="C46" i="8" s="1"/>
  <c r="G11" i="9"/>
  <c r="I41" i="8"/>
  <c r="I43" i="8" s="1"/>
  <c r="I45" i="8" s="1"/>
  <c r="I47" i="8" s="1"/>
  <c r="H139" i="12" l="1"/>
  <c r="N135" i="12"/>
  <c r="N142" i="12"/>
  <c r="G32" i="13"/>
  <c r="G64" i="12" s="1"/>
  <c r="G33" i="13"/>
  <c r="M95" i="12"/>
  <c r="L78" i="12"/>
  <c r="L137" i="12" s="1"/>
  <c r="L153" i="12" s="1"/>
  <c r="H21" i="7"/>
  <c r="I139" i="12"/>
  <c r="K7" i="6"/>
  <c r="N66" i="12"/>
  <c r="N99" i="12" s="1"/>
  <c r="N127" i="12" s="1"/>
  <c r="N150" i="12" s="1"/>
  <c r="N158" i="12" s="1"/>
  <c r="M99" i="12"/>
  <c r="M127" i="12" s="1"/>
  <c r="M150" i="12" s="1"/>
  <c r="M158" i="12" s="1"/>
  <c r="K118" i="12"/>
  <c r="H52" i="12"/>
  <c r="H53" i="12" s="1"/>
  <c r="K161" i="12"/>
  <c r="K144" i="12"/>
  <c r="J138" i="12"/>
  <c r="M78" i="12"/>
  <c r="N68" i="12"/>
  <c r="N78" i="12" s="1"/>
  <c r="M118" i="12"/>
  <c r="N104" i="12"/>
  <c r="N119" i="12" s="1"/>
  <c r="K111" i="12"/>
  <c r="K136" i="12" s="1"/>
  <c r="K119" i="12"/>
  <c r="L101" i="12"/>
  <c r="K51" i="12"/>
  <c r="J123" i="12"/>
  <c r="J128" i="12" s="1"/>
  <c r="L118" i="12"/>
  <c r="M103" i="12"/>
  <c r="L119" i="12"/>
  <c r="M102" i="12"/>
  <c r="P121" i="12"/>
  <c r="D11" i="9"/>
  <c r="E20" i="9" s="1"/>
  <c r="E41" i="8"/>
  <c r="E43" i="8" s="1"/>
  <c r="E45" i="8" s="1"/>
  <c r="E47" i="8" s="1"/>
  <c r="G21" i="7"/>
  <c r="F20" i="7"/>
  <c r="H11" i="9"/>
  <c r="I20" i="9" s="1"/>
  <c r="L20" i="9" s="1"/>
  <c r="I19" i="9"/>
  <c r="G19" i="9"/>
  <c r="G22" i="9" s="1"/>
  <c r="G25" i="9" s="1"/>
  <c r="G28" i="9" s="1"/>
  <c r="G31" i="9" s="1"/>
  <c r="G34" i="9" s="1"/>
  <c r="F19" i="9"/>
  <c r="F22" i="9" s="1"/>
  <c r="F25" i="9" s="1"/>
  <c r="F28" i="9" s="1"/>
  <c r="F31" i="9" s="1"/>
  <c r="F34" i="9" s="1"/>
  <c r="H41" i="8"/>
  <c r="H43" i="8" s="1"/>
  <c r="H45" i="8" s="1"/>
  <c r="H47" i="8" s="1"/>
  <c r="D41" i="8"/>
  <c r="D43" i="8" s="1"/>
  <c r="D45" i="8" s="1"/>
  <c r="D47" i="8" s="1"/>
  <c r="C41" i="8"/>
  <c r="C43" i="8" s="1"/>
  <c r="C45" i="8" s="1"/>
  <c r="C47" i="8" s="1"/>
  <c r="G41" i="8"/>
  <c r="G43" i="8" s="1"/>
  <c r="G45" i="8" s="1"/>
  <c r="G47" i="8" s="1"/>
  <c r="K41" i="8"/>
  <c r="K43" i="8" s="1"/>
  <c r="K45" i="8" s="1"/>
  <c r="K47" i="8" s="1"/>
  <c r="F41" i="8"/>
  <c r="F43" i="8" s="1"/>
  <c r="F45" i="8" s="1"/>
  <c r="F47" i="8" s="1"/>
  <c r="K23" i="9"/>
  <c r="K26" i="9" s="1"/>
  <c r="K29" i="9" s="1"/>
  <c r="K32" i="9" s="1"/>
  <c r="K35" i="9" s="1"/>
  <c r="H23" i="9"/>
  <c r="H26" i="9" s="1"/>
  <c r="H29" i="9" s="1"/>
  <c r="H32" i="9" s="1"/>
  <c r="H35" i="9" s="1"/>
  <c r="K22" i="9"/>
  <c r="K25" i="9" s="1"/>
  <c r="K28" i="9" s="1"/>
  <c r="K31" i="9" s="1"/>
  <c r="K34" i="9" s="1"/>
  <c r="H22" i="9"/>
  <c r="H25" i="9" s="1"/>
  <c r="H28" i="9" s="1"/>
  <c r="H31" i="9" s="1"/>
  <c r="H34" i="9" s="1"/>
  <c r="D22" i="9"/>
  <c r="D25" i="9" s="1"/>
  <c r="D28" i="9" s="1"/>
  <c r="D31" i="9" s="1"/>
  <c r="D34" i="9" s="1"/>
  <c r="G23" i="9"/>
  <c r="G26" i="9" s="1"/>
  <c r="G29" i="9" s="1"/>
  <c r="G32" i="9" s="1"/>
  <c r="G35" i="9" s="1"/>
  <c r="F23" i="9"/>
  <c r="F26" i="9" s="1"/>
  <c r="F29" i="9" s="1"/>
  <c r="F32" i="9" s="1"/>
  <c r="F35" i="9" s="1"/>
  <c r="D20" i="9"/>
  <c r="D23" i="9" s="1"/>
  <c r="D26" i="9" s="1"/>
  <c r="D29" i="9" s="1"/>
  <c r="D32" i="9" s="1"/>
  <c r="D35" i="9" s="1"/>
  <c r="C22" i="9"/>
  <c r="C25" i="9" s="1"/>
  <c r="C28" i="9" s="1"/>
  <c r="C31" i="9" s="1"/>
  <c r="C34" i="9" s="1"/>
  <c r="B18" i="9"/>
  <c r="B7" i="9" s="1"/>
  <c r="B11" i="9"/>
  <c r="D13" i="8"/>
  <c r="C13" i="8"/>
  <c r="B13" i="8"/>
  <c r="B25" i="7"/>
  <c r="C24" i="7"/>
  <c r="D24" i="7" s="1"/>
  <c r="E24" i="7" s="1"/>
  <c r="F24" i="7" s="1"/>
  <c r="G24" i="7" s="1"/>
  <c r="H24" i="7" s="1"/>
  <c r="B5" i="5"/>
  <c r="E5" i="5" s="1"/>
  <c r="A2" i="5"/>
  <c r="L48" i="6"/>
  <c r="A42" i="6"/>
  <c r="C40" i="6"/>
  <c r="A40" i="6"/>
  <c r="A46" i="6"/>
  <c r="G39" i="6"/>
  <c r="I39" i="6" s="1"/>
  <c r="K39" i="6" s="1"/>
  <c r="E39" i="6"/>
  <c r="C39" i="6"/>
  <c r="A39" i="6"/>
  <c r="G38" i="6"/>
  <c r="I38" i="6" s="1"/>
  <c r="K38" i="6" s="1"/>
  <c r="E38" i="6"/>
  <c r="C38" i="6"/>
  <c r="A38" i="6"/>
  <c r="A44" i="6"/>
  <c r="C37" i="6"/>
  <c r="A37" i="6"/>
  <c r="C36" i="6"/>
  <c r="A36" i="6"/>
  <c r="C35" i="6"/>
  <c r="A35" i="6"/>
  <c r="C34" i="6"/>
  <c r="A34" i="6"/>
  <c r="C33" i="6"/>
  <c r="A33" i="6"/>
  <c r="C32" i="6"/>
  <c r="A32" i="6"/>
  <c r="A31" i="6"/>
  <c r="E30" i="6"/>
  <c r="C30" i="6"/>
  <c r="A30" i="6"/>
  <c r="C29" i="6"/>
  <c r="A29" i="6"/>
  <c r="C28" i="6"/>
  <c r="A28" i="6"/>
  <c r="C18" i="6"/>
  <c r="A18" i="6"/>
  <c r="G24" i="6"/>
  <c r="I24" i="6" s="1"/>
  <c r="K24" i="6" s="1"/>
  <c r="E24" i="6"/>
  <c r="C24" i="6"/>
  <c r="C17" i="6"/>
  <c r="C27" i="6"/>
  <c r="G19" i="6"/>
  <c r="E19" i="6"/>
  <c r="C19" i="6"/>
  <c r="A3" i="6"/>
  <c r="E40" i="6"/>
  <c r="G36" i="6"/>
  <c r="I36" i="6" s="1"/>
  <c r="K36" i="6" s="1"/>
  <c r="E35" i="6"/>
  <c r="G34" i="6"/>
  <c r="I34" i="6" s="1"/>
  <c r="K34" i="6" s="1"/>
  <c r="G33" i="6"/>
  <c r="I33" i="6" s="1"/>
  <c r="K33" i="6" s="1"/>
  <c r="G32" i="6"/>
  <c r="I32" i="6" s="1"/>
  <c r="K32" i="6" s="1"/>
  <c r="G31" i="6"/>
  <c r="I31" i="6" s="1"/>
  <c r="K31" i="6" s="1"/>
  <c r="E31" i="6"/>
  <c r="C31" i="6"/>
  <c r="G30" i="6"/>
  <c r="G29" i="6"/>
  <c r="I29" i="6" s="1"/>
  <c r="K29" i="6" s="1"/>
  <c r="E28" i="6"/>
  <c r="E18" i="6"/>
  <c r="G17" i="6"/>
  <c r="I17" i="6" s="1"/>
  <c r="K17" i="6" s="1"/>
  <c r="G27" i="6"/>
  <c r="A6" i="2"/>
  <c r="D8" i="8"/>
  <c r="C8" i="8"/>
  <c r="R162" i="12"/>
  <c r="J9" i="9" l="1"/>
  <c r="F9" i="9"/>
  <c r="I9" i="9"/>
  <c r="E9" i="9"/>
  <c r="H9" i="9"/>
  <c r="D9" i="9"/>
  <c r="G9" i="9"/>
  <c r="B9" i="9"/>
  <c r="C9" i="9"/>
  <c r="M135" i="12"/>
  <c r="M142" i="12"/>
  <c r="G17" i="8"/>
  <c r="G19" i="8"/>
  <c r="I22" i="9"/>
  <c r="L22" i="9" s="1"/>
  <c r="L19" i="9"/>
  <c r="K123" i="12"/>
  <c r="K128" i="12" s="1"/>
  <c r="H62" i="12"/>
  <c r="I52" i="12" s="1"/>
  <c r="I53" i="12" s="1"/>
  <c r="K138" i="12"/>
  <c r="N137" i="12"/>
  <c r="N153" i="12" s="1"/>
  <c r="L161" i="12"/>
  <c r="L144" i="12"/>
  <c r="M137" i="12"/>
  <c r="M153" i="12" s="1"/>
  <c r="J139" i="12"/>
  <c r="P122" i="12"/>
  <c r="K61" i="12"/>
  <c r="M119" i="12"/>
  <c r="N103" i="12"/>
  <c r="N120" i="12" s="1"/>
  <c r="M120" i="12"/>
  <c r="N102" i="12"/>
  <c r="N121" i="12" s="1"/>
  <c r="L111" i="12"/>
  <c r="L136" i="12" s="1"/>
  <c r="L120" i="12"/>
  <c r="L123" i="12" s="1"/>
  <c r="L128" i="12" s="1"/>
  <c r="M101" i="12"/>
  <c r="E23" i="9"/>
  <c r="E19" i="9"/>
  <c r="E22" i="9" s="1"/>
  <c r="E25" i="9" s="1"/>
  <c r="E28" i="9" s="1"/>
  <c r="E31" i="9" s="1"/>
  <c r="E34" i="9" s="1"/>
  <c r="E13" i="6"/>
  <c r="E5" i="6" s="1"/>
  <c r="Q8" i="6" s="1"/>
  <c r="Q14" i="6" s="1"/>
  <c r="I27" i="6"/>
  <c r="I19" i="6"/>
  <c r="F21" i="7"/>
  <c r="E20" i="7"/>
  <c r="C6" i="5"/>
  <c r="I23" i="9"/>
  <c r="L23" i="9" s="1"/>
  <c r="C25" i="6"/>
  <c r="E29" i="6"/>
  <c r="L29" i="6" s="1"/>
  <c r="E17" i="6"/>
  <c r="L17" i="6" s="1"/>
  <c r="E33" i="6"/>
  <c r="L33" i="6" s="1"/>
  <c r="G35" i="6"/>
  <c r="I35" i="6" s="1"/>
  <c r="K35" i="6" s="1"/>
  <c r="E27" i="6"/>
  <c r="G28" i="6"/>
  <c r="I28" i="6" s="1"/>
  <c r="K28" i="6" s="1"/>
  <c r="L24" i="6"/>
  <c r="E34" i="6"/>
  <c r="L34" i="6" s="1"/>
  <c r="E32" i="6"/>
  <c r="L32" i="6" s="1"/>
  <c r="E36" i="6"/>
  <c r="L36" i="6" s="1"/>
  <c r="G18" i="6"/>
  <c r="G40" i="6"/>
  <c r="I40" i="6" s="1"/>
  <c r="K40" i="6" s="1"/>
  <c r="F5" i="5"/>
  <c r="B6" i="5"/>
  <c r="D5" i="5"/>
  <c r="B8" i="8"/>
  <c r="L31" i="6"/>
  <c r="C5" i="5"/>
  <c r="E6" i="5"/>
  <c r="B21" i="9"/>
  <c r="B24" i="9" s="1"/>
  <c r="B27" i="9" s="1"/>
  <c r="B30" i="9" s="1"/>
  <c r="B33" i="9" s="1"/>
  <c r="L38" i="6"/>
  <c r="D6" i="5"/>
  <c r="L7" i="6"/>
  <c r="L39" i="6"/>
  <c r="F6" i="5"/>
  <c r="L46" i="6"/>
  <c r="C20" i="9"/>
  <c r="C23" i="9" s="1"/>
  <c r="C26" i="9" s="1"/>
  <c r="C29" i="9" s="1"/>
  <c r="C32" i="9" s="1"/>
  <c r="C35" i="9" s="1"/>
  <c r="L6" i="6"/>
  <c r="G37" i="6"/>
  <c r="I37" i="6" s="1"/>
  <c r="K37" i="6" s="1"/>
  <c r="E37" i="6"/>
  <c r="I30" i="6"/>
  <c r="E26" i="7" l="1"/>
  <c r="F26" i="7" s="1"/>
  <c r="G26" i="7" s="1"/>
  <c r="H26" i="7" s="1"/>
  <c r="I26" i="7" s="1"/>
  <c r="J26" i="7" s="1"/>
  <c r="K26" i="7" s="1"/>
  <c r="L26" i="7" s="1"/>
  <c r="H19" i="8"/>
  <c r="E25" i="7"/>
  <c r="H17" i="8"/>
  <c r="I25" i="9"/>
  <c r="I28" i="9" s="1"/>
  <c r="S162" i="12"/>
  <c r="H63" i="12"/>
  <c r="H33" i="13" s="1"/>
  <c r="I62" i="12"/>
  <c r="J52" i="12" s="1"/>
  <c r="J53" i="12" s="1"/>
  <c r="K139" i="12"/>
  <c r="L138" i="12"/>
  <c r="N161" i="12"/>
  <c r="N144" i="12"/>
  <c r="M161" i="12"/>
  <c r="M144" i="12"/>
  <c r="L125" i="12"/>
  <c r="L129" i="12" s="1"/>
  <c r="G125" i="12"/>
  <c r="G129" i="12" s="1"/>
  <c r="E125" i="12"/>
  <c r="E129" i="12" s="1"/>
  <c r="I125" i="12"/>
  <c r="I129" i="12" s="1"/>
  <c r="J125" i="12"/>
  <c r="J129" i="12" s="1"/>
  <c r="K125" i="12"/>
  <c r="K129" i="12" s="1"/>
  <c r="H125" i="12"/>
  <c r="H129" i="12" s="1"/>
  <c r="M111" i="12"/>
  <c r="M136" i="12" s="1"/>
  <c r="M121" i="12"/>
  <c r="M125" i="12" s="1"/>
  <c r="M129" i="12" s="1"/>
  <c r="N101" i="12"/>
  <c r="L51" i="12"/>
  <c r="L61" i="12" s="1"/>
  <c r="F125" i="12"/>
  <c r="F129" i="12" s="1"/>
  <c r="E26" i="9"/>
  <c r="K27" i="6"/>
  <c r="I18" i="9"/>
  <c r="C16" i="7"/>
  <c r="E63" i="13" s="1"/>
  <c r="I18" i="6"/>
  <c r="H18" i="9"/>
  <c r="H21" i="9" s="1"/>
  <c r="H24" i="9" s="1"/>
  <c r="H27" i="9" s="1"/>
  <c r="H30" i="9" s="1"/>
  <c r="H33" i="9" s="1"/>
  <c r="J18" i="9"/>
  <c r="J21" i="9" s="1"/>
  <c r="J24" i="9" s="1"/>
  <c r="J27" i="9" s="1"/>
  <c r="J30" i="9" s="1"/>
  <c r="J33" i="9" s="1"/>
  <c r="G13" i="6"/>
  <c r="G5" i="6" s="1"/>
  <c r="R8" i="6" s="1"/>
  <c r="R14" i="6" s="1"/>
  <c r="F18" i="9"/>
  <c r="F21" i="9" s="1"/>
  <c r="F24" i="9" s="1"/>
  <c r="F27" i="9" s="1"/>
  <c r="F30" i="9" s="1"/>
  <c r="F33" i="9" s="1"/>
  <c r="D18" i="9"/>
  <c r="E18" i="9"/>
  <c r="C5" i="6"/>
  <c r="P8" i="6" s="1"/>
  <c r="P14" i="6" s="1"/>
  <c r="K18" i="9"/>
  <c r="C18" i="9"/>
  <c r="C21" i="9" s="1"/>
  <c r="C24" i="9" s="1"/>
  <c r="C27" i="9" s="1"/>
  <c r="C30" i="9" s="1"/>
  <c r="C33" i="9" s="1"/>
  <c r="G18" i="9"/>
  <c r="G21" i="9" s="1"/>
  <c r="G24" i="9" s="1"/>
  <c r="G27" i="9" s="1"/>
  <c r="G30" i="9" s="1"/>
  <c r="G33" i="9" s="1"/>
  <c r="K19" i="6"/>
  <c r="L35" i="6"/>
  <c r="E21" i="7"/>
  <c r="D20" i="7"/>
  <c r="I26" i="9"/>
  <c r="L26" i="9" s="1"/>
  <c r="C8" i="5"/>
  <c r="L28" i="6"/>
  <c r="L40" i="6"/>
  <c r="T162" i="12"/>
  <c r="G6" i="5"/>
  <c r="B8" i="5"/>
  <c r="L37" i="6"/>
  <c r="K30" i="6"/>
  <c r="L30" i="6" s="1"/>
  <c r="H32" i="13" l="1"/>
  <c r="H64" i="12" s="1"/>
  <c r="K21" i="9"/>
  <c r="L18" i="9"/>
  <c r="F25" i="7"/>
  <c r="I17" i="8"/>
  <c r="I19" i="8"/>
  <c r="L25" i="9"/>
  <c r="I31" i="9"/>
  <c r="L28" i="9"/>
  <c r="I21" i="9"/>
  <c r="E29" i="9"/>
  <c r="I63" i="12"/>
  <c r="I33" i="13" s="1"/>
  <c r="L139" i="12"/>
  <c r="J62" i="12"/>
  <c r="K52" i="12" s="1"/>
  <c r="K53" i="12" s="1"/>
  <c r="M138" i="12"/>
  <c r="F143" i="12"/>
  <c r="K143" i="12"/>
  <c r="M51" i="12"/>
  <c r="J143" i="12"/>
  <c r="I143" i="12"/>
  <c r="L143" i="12"/>
  <c r="N111" i="12"/>
  <c r="N136" i="12" s="1"/>
  <c r="N122" i="12"/>
  <c r="G143" i="12"/>
  <c r="M143" i="12"/>
  <c r="M123" i="12"/>
  <c r="M128" i="12" s="1"/>
  <c r="H143" i="12"/>
  <c r="E143" i="12"/>
  <c r="E25" i="6"/>
  <c r="L27" i="6"/>
  <c r="K18" i="6"/>
  <c r="E21" i="9"/>
  <c r="D21" i="9"/>
  <c r="I13" i="6"/>
  <c r="K13" i="6" s="1"/>
  <c r="K5" i="6" s="1"/>
  <c r="T8" i="6" s="1"/>
  <c r="T14" i="6" s="1"/>
  <c r="O26" i="6"/>
  <c r="O27" i="6" s="1"/>
  <c r="O28" i="6" s="1"/>
  <c r="O29" i="6" s="1"/>
  <c r="O30" i="6" s="1"/>
  <c r="D16" i="7"/>
  <c r="F63" i="13" s="1"/>
  <c r="L19" i="6"/>
  <c r="C20" i="7"/>
  <c r="D21" i="7"/>
  <c r="G25" i="6"/>
  <c r="I29" i="9"/>
  <c r="L29" i="9" s="1"/>
  <c r="B9" i="7"/>
  <c r="C6" i="7"/>
  <c r="D6" i="7" s="1"/>
  <c r="E6" i="7" s="1"/>
  <c r="F6" i="7" s="1"/>
  <c r="G6" i="7" s="1"/>
  <c r="H6" i="7" s="1"/>
  <c r="I6" i="7" s="1"/>
  <c r="J6" i="7" s="1"/>
  <c r="L31" i="9" l="1"/>
  <c r="I34" i="9"/>
  <c r="L34" i="9" s="1"/>
  <c r="I32" i="13"/>
  <c r="I64" i="12" s="1"/>
  <c r="K24" i="9"/>
  <c r="L21" i="9"/>
  <c r="G25" i="7"/>
  <c r="J17" i="8"/>
  <c r="J19" i="8"/>
  <c r="I24" i="9"/>
  <c r="I27" i="9" s="1"/>
  <c r="E32" i="9"/>
  <c r="E35" i="9" s="1"/>
  <c r="U162" i="12"/>
  <c r="J63" i="12"/>
  <c r="J33" i="13" s="1"/>
  <c r="K62" i="12"/>
  <c r="K63" i="12" s="1"/>
  <c r="K33" i="13" s="1"/>
  <c r="M139" i="12"/>
  <c r="M130" i="12"/>
  <c r="M131" i="12" s="1"/>
  <c r="M145" i="12"/>
  <c r="E130" i="12"/>
  <c r="E131" i="12" s="1"/>
  <c r="C14" i="6" s="1"/>
  <c r="E145" i="12"/>
  <c r="F130" i="12"/>
  <c r="F145" i="12"/>
  <c r="I130" i="12"/>
  <c r="I131" i="12" s="1"/>
  <c r="I145" i="12"/>
  <c r="H130" i="12"/>
  <c r="H131" i="12" s="1"/>
  <c r="H145" i="12"/>
  <c r="N138" i="12"/>
  <c r="K130" i="12"/>
  <c r="K131" i="12" s="1"/>
  <c r="K145" i="12"/>
  <c r="G130" i="12"/>
  <c r="G131" i="12" s="1"/>
  <c r="G145" i="12"/>
  <c r="L130" i="12"/>
  <c r="L131" i="12" s="1"/>
  <c r="L145" i="12"/>
  <c r="J130" i="12"/>
  <c r="J131" i="12" s="1"/>
  <c r="J145" i="12"/>
  <c r="N125" i="12"/>
  <c r="N129" i="12" s="1"/>
  <c r="N123" i="12"/>
  <c r="N128" i="12" s="1"/>
  <c r="M61" i="12"/>
  <c r="L18" i="6"/>
  <c r="Y26" i="6"/>
  <c r="D24" i="9"/>
  <c r="I5" i="6"/>
  <c r="S8" i="6" s="1"/>
  <c r="S14" i="6" s="1"/>
  <c r="E24" i="9"/>
  <c r="E27" i="9" s="1"/>
  <c r="E16" i="7"/>
  <c r="G63" i="13" s="1"/>
  <c r="C44" i="6"/>
  <c r="B20" i="7"/>
  <c r="B21" i="7" s="1"/>
  <c r="C21" i="7"/>
  <c r="D8" i="5"/>
  <c r="I32" i="9"/>
  <c r="B12" i="7"/>
  <c r="C9" i="7"/>
  <c r="D9" i="7" s="1"/>
  <c r="E9" i="7" s="1"/>
  <c r="F9" i="7" s="1"/>
  <c r="G9" i="7" s="1"/>
  <c r="H9" i="7" s="1"/>
  <c r="I9" i="7" s="1"/>
  <c r="J9" i="7" s="1"/>
  <c r="K19" i="8" l="1"/>
  <c r="R157" i="12" s="1"/>
  <c r="K17" i="8"/>
  <c r="H25" i="7"/>
  <c r="G14" i="6"/>
  <c r="L32" i="9"/>
  <c r="I35" i="9"/>
  <c r="L35" i="9" s="1"/>
  <c r="J32" i="13"/>
  <c r="J64" i="12" s="1"/>
  <c r="K32" i="13"/>
  <c r="K27" i="9"/>
  <c r="L24" i="9"/>
  <c r="G15" i="6" s="1"/>
  <c r="F131" i="12"/>
  <c r="I30" i="9"/>
  <c r="J14" i="6"/>
  <c r="J15" i="6"/>
  <c r="H14" i="6"/>
  <c r="H15" i="6"/>
  <c r="F14" i="6"/>
  <c r="F15" i="6"/>
  <c r="B15" i="6"/>
  <c r="V162" i="12"/>
  <c r="L52" i="12"/>
  <c r="L53" i="12" s="1"/>
  <c r="L146" i="12"/>
  <c r="L147" i="12" s="1"/>
  <c r="F146" i="12"/>
  <c r="H146" i="12"/>
  <c r="K146" i="12"/>
  <c r="K147" i="12" s="1"/>
  <c r="M146" i="12"/>
  <c r="M147" i="12" s="1"/>
  <c r="J146" i="12"/>
  <c r="J147" i="12" s="1"/>
  <c r="I146" i="12"/>
  <c r="N139" i="12"/>
  <c r="G146" i="12"/>
  <c r="E146" i="12"/>
  <c r="N51" i="12"/>
  <c r="N143" i="12"/>
  <c r="E8" i="5"/>
  <c r="I25" i="6"/>
  <c r="K25" i="6"/>
  <c r="D27" i="9"/>
  <c r="I14" i="6" s="1"/>
  <c r="F16" i="7"/>
  <c r="G16" i="7" s="1"/>
  <c r="H16" i="7" s="1"/>
  <c r="E44" i="6"/>
  <c r="F8" i="5"/>
  <c r="E30" i="9"/>
  <c r="E33" i="9" s="1"/>
  <c r="C12" i="7"/>
  <c r="D12" i="7" s="1"/>
  <c r="E12" i="7" s="1"/>
  <c r="F12" i="7" s="1"/>
  <c r="G12" i="7" s="1"/>
  <c r="B15" i="7"/>
  <c r="C15" i="7" s="1"/>
  <c r="D15" i="7" s="1"/>
  <c r="E15" i="7" s="1"/>
  <c r="F15" i="7" s="1"/>
  <c r="G15" i="7" s="1"/>
  <c r="H15" i="7" s="1"/>
  <c r="I15" i="7" s="1"/>
  <c r="J15" i="7" s="1"/>
  <c r="L17" i="8" l="1"/>
  <c r="I25" i="7"/>
  <c r="J25" i="7" s="1"/>
  <c r="K25" i="7" s="1"/>
  <c r="L25" i="7" s="1"/>
  <c r="R155" i="12"/>
  <c r="R160" i="12"/>
  <c r="L19" i="8"/>
  <c r="S157" i="12" s="1"/>
  <c r="I33" i="9"/>
  <c r="D15" i="6"/>
  <c r="E14" i="6"/>
  <c r="K64" i="12"/>
  <c r="E15" i="6"/>
  <c r="K30" i="9"/>
  <c r="K33" i="9" s="1"/>
  <c r="L27" i="9"/>
  <c r="I15" i="6" s="1"/>
  <c r="I20" i="6" s="1"/>
  <c r="D14" i="6"/>
  <c r="B14" i="6"/>
  <c r="C15" i="6"/>
  <c r="G20" i="6"/>
  <c r="G147" i="12"/>
  <c r="G8" i="6"/>
  <c r="I147" i="12"/>
  <c r="K8" i="6"/>
  <c r="H147" i="12"/>
  <c r="I8" i="6"/>
  <c r="F147" i="12"/>
  <c r="E8" i="6"/>
  <c r="E147" i="12"/>
  <c r="C8" i="6"/>
  <c r="L62" i="12"/>
  <c r="L63" i="12" s="1"/>
  <c r="L33" i="13" s="1"/>
  <c r="N130" i="12"/>
  <c r="N131" i="12" s="1"/>
  <c r="N145" i="12"/>
  <c r="N61" i="12"/>
  <c r="G8" i="5"/>
  <c r="D30" i="9"/>
  <c r="D33" i="9" s="1"/>
  <c r="D9" i="5"/>
  <c r="G44" i="6"/>
  <c r="I44" i="6" s="1"/>
  <c r="K44" i="6" s="1"/>
  <c r="L44" i="6" s="1"/>
  <c r="L25" i="6"/>
  <c r="G18" i="8"/>
  <c r="E151" i="12" l="1"/>
  <c r="E159" i="12" s="1"/>
  <c r="E153" i="12"/>
  <c r="E161" i="12" s="1"/>
  <c r="L18" i="8"/>
  <c r="S156" i="12" s="1"/>
  <c r="S155" i="12"/>
  <c r="S160" i="12"/>
  <c r="U160" i="12"/>
  <c r="T160" i="12"/>
  <c r="E41" i="6"/>
  <c r="C41" i="6"/>
  <c r="K14" i="6"/>
  <c r="L33" i="9"/>
  <c r="G42" i="6"/>
  <c r="I42" i="6" s="1"/>
  <c r="K42" i="6" s="1"/>
  <c r="E42" i="6"/>
  <c r="G41" i="6"/>
  <c r="G51" i="6" s="1"/>
  <c r="C42" i="6"/>
  <c r="E9" i="5"/>
  <c r="E20" i="6"/>
  <c r="L32" i="13"/>
  <c r="L64" i="12" s="1"/>
  <c r="C9" i="5"/>
  <c r="L30" i="9"/>
  <c r="K15" i="6" s="1"/>
  <c r="L15" i="6" s="1"/>
  <c r="B9" i="5"/>
  <c r="C20" i="6"/>
  <c r="L8" i="6"/>
  <c r="M19" i="8"/>
  <c r="M52" i="12"/>
  <c r="M53" i="12" s="1"/>
  <c r="N146" i="12"/>
  <c r="N147" i="12" s="1"/>
  <c r="H18" i="8"/>
  <c r="F153" i="12" l="1"/>
  <c r="F161" i="12" s="1"/>
  <c r="F151" i="12"/>
  <c r="F159" i="12" s="1"/>
  <c r="N19" i="8"/>
  <c r="T157" i="12"/>
  <c r="C51" i="6"/>
  <c r="B51" i="6" s="1"/>
  <c r="E51" i="6"/>
  <c r="D51" i="6" s="1"/>
  <c r="I41" i="6"/>
  <c r="I51" i="6" s="1"/>
  <c r="F51" i="6"/>
  <c r="L42" i="6"/>
  <c r="E43" i="6"/>
  <c r="E49" i="6" s="1"/>
  <c r="C10" i="5" s="1"/>
  <c r="I43" i="6"/>
  <c r="I49" i="6" s="1"/>
  <c r="E10" i="5" s="1"/>
  <c r="G43" i="6"/>
  <c r="G49" i="6" s="1"/>
  <c r="D10" i="5" s="1"/>
  <c r="C43" i="6"/>
  <c r="C49" i="6" s="1"/>
  <c r="B10" i="5" s="1"/>
  <c r="K20" i="6"/>
  <c r="R163" i="12"/>
  <c r="L14" i="6"/>
  <c r="F9" i="5"/>
  <c r="G9" i="5" s="1"/>
  <c r="M62" i="12"/>
  <c r="N52" i="12" s="1"/>
  <c r="N53" i="12" s="1"/>
  <c r="P26" i="6"/>
  <c r="I18" i="8"/>
  <c r="O19" i="8" l="1"/>
  <c r="V157" i="12" s="1"/>
  <c r="U157" i="12"/>
  <c r="K41" i="6"/>
  <c r="H51" i="6"/>
  <c r="L20" i="6"/>
  <c r="E152" i="12"/>
  <c r="E154" i="12"/>
  <c r="E162" i="12" s="1"/>
  <c r="E163" i="12" s="1"/>
  <c r="P10" i="6" s="1"/>
  <c r="S163" i="12"/>
  <c r="M63" i="12"/>
  <c r="M33" i="13" s="1"/>
  <c r="P27" i="6"/>
  <c r="N62" i="12"/>
  <c r="N63" i="12" s="1"/>
  <c r="N33" i="13" s="1"/>
  <c r="J18" i="8"/>
  <c r="K51" i="6" l="1"/>
  <c r="J51" i="6" s="1"/>
  <c r="L41" i="6"/>
  <c r="K43" i="6"/>
  <c r="L43" i="6" s="1"/>
  <c r="M32" i="13"/>
  <c r="M64" i="12" s="1"/>
  <c r="N32" i="13"/>
  <c r="F152" i="12"/>
  <c r="F154" i="12"/>
  <c r="F162" i="12" s="1"/>
  <c r="F163" i="12" s="1"/>
  <c r="Q10" i="6" s="1"/>
  <c r="T163" i="12"/>
  <c r="E155" i="12"/>
  <c r="P9" i="6" s="1"/>
  <c r="K18" i="8"/>
  <c r="R156" i="12" s="1"/>
  <c r="L49" i="6" l="1"/>
  <c r="K49" i="6"/>
  <c r="F10" i="5" s="1"/>
  <c r="G10" i="5" s="1"/>
  <c r="N64" i="12"/>
  <c r="F155" i="12"/>
  <c r="Q9" i="6" s="1"/>
  <c r="G152" i="12"/>
  <c r="G154" i="12"/>
  <c r="G162" i="12" s="1"/>
  <c r="U163" i="12"/>
  <c r="V160" i="12"/>
  <c r="M17" i="8"/>
  <c r="P29" i="6"/>
  <c r="P28" i="6"/>
  <c r="M18" i="8" l="1"/>
  <c r="T156" i="12" s="1"/>
  <c r="T155" i="12"/>
  <c r="V163" i="12"/>
  <c r="H152" i="12"/>
  <c r="H154" i="12"/>
  <c r="H162" i="12" s="1"/>
  <c r="N17" i="8"/>
  <c r="P30" i="6"/>
  <c r="N18" i="8" l="1"/>
  <c r="U156" i="12" s="1"/>
  <c r="U155" i="12"/>
  <c r="G153" i="12"/>
  <c r="G161" i="12" s="1"/>
  <c r="G151" i="12"/>
  <c r="J152" i="12"/>
  <c r="L152" i="12"/>
  <c r="K152" i="12"/>
  <c r="M152" i="12"/>
  <c r="I152" i="12"/>
  <c r="J154" i="12"/>
  <c r="J162" i="12" s="1"/>
  <c r="I154" i="12"/>
  <c r="I162" i="12" s="1"/>
  <c r="L154" i="12"/>
  <c r="L162" i="12" s="1"/>
  <c r="M154" i="12"/>
  <c r="M162" i="12" s="1"/>
  <c r="K154" i="12"/>
  <c r="K162" i="12" s="1"/>
  <c r="N152" i="12"/>
  <c r="N154" i="12"/>
  <c r="N162" i="12" s="1"/>
  <c r="O17" i="8"/>
  <c r="Q11" i="6"/>
  <c r="H153" i="12" l="1"/>
  <c r="H161" i="12" s="1"/>
  <c r="H151" i="12"/>
  <c r="O18" i="8"/>
  <c r="V156" i="12" s="1"/>
  <c r="V155" i="12"/>
  <c r="G159" i="12"/>
  <c r="G163" i="12" s="1"/>
  <c r="R10" i="6" s="1"/>
  <c r="G155" i="12"/>
  <c r="R9" i="6" s="1"/>
  <c r="Q15" i="6"/>
  <c r="C11" i="5"/>
  <c r="C12" i="5" s="1"/>
  <c r="P11" i="6"/>
  <c r="R11" i="6" l="1"/>
  <c r="R15" i="6" s="1"/>
  <c r="I151" i="12"/>
  <c r="L151" i="12"/>
  <c r="I153" i="12"/>
  <c r="I161" i="12" s="1"/>
  <c r="N151" i="12"/>
  <c r="J153" i="12"/>
  <c r="J161" i="12" s="1"/>
  <c r="M151" i="12"/>
  <c r="K151" i="12"/>
  <c r="J151" i="12"/>
  <c r="H159" i="12"/>
  <c r="H163" i="12" s="1"/>
  <c r="S10" i="6" s="1"/>
  <c r="H155" i="12"/>
  <c r="S9" i="6" s="1"/>
  <c r="P15" i="6"/>
  <c r="B11" i="5"/>
  <c r="D11" i="5" l="1"/>
  <c r="D12" i="5" s="1"/>
  <c r="S11" i="6"/>
  <c r="E11" i="5" s="1"/>
  <c r="E12" i="5" s="1"/>
  <c r="J159" i="12"/>
  <c r="J163" i="12" s="1"/>
  <c r="J155" i="12"/>
  <c r="N159" i="12"/>
  <c r="N163" i="12" s="1"/>
  <c r="N155" i="12"/>
  <c r="K159" i="12"/>
  <c r="K163" i="12" s="1"/>
  <c r="K155" i="12"/>
  <c r="M159" i="12"/>
  <c r="M163" i="12" s="1"/>
  <c r="M155" i="12"/>
  <c r="L159" i="12"/>
  <c r="L163" i="12" s="1"/>
  <c r="L155" i="12"/>
  <c r="I159" i="12"/>
  <c r="I163" i="12" s="1"/>
  <c r="T10" i="6" s="1"/>
  <c r="U10" i="6" s="1"/>
  <c r="I155" i="12"/>
  <c r="T9" i="6" s="1"/>
  <c r="B12" i="5"/>
  <c r="S15" i="6" l="1"/>
  <c r="U9" i="6"/>
  <c r="T11" i="6"/>
  <c r="T15" i="6" l="1"/>
  <c r="U15" i="6" s="1"/>
  <c r="U11" i="6"/>
  <c r="F11" i="5"/>
  <c r="F12" i="5" l="1"/>
  <c r="G11" i="5"/>
  <c r="G12" i="5" s="1"/>
</calcChain>
</file>

<file path=xl/comments1.xml><?xml version="1.0" encoding="utf-8"?>
<comments xmlns="http://schemas.openxmlformats.org/spreadsheetml/2006/main">
  <authors>
    <author>Lloyd Russow</author>
  </authors>
  <commentList>
    <comment ref="E6" authorId="0">
      <text>
        <r>
          <rPr>
            <sz val="10"/>
            <rFont val="Arial"/>
            <family val="2"/>
          </rPr>
          <t>if fiscal year is 2016-2017 (academic year 2016), please enter 2017</t>
        </r>
      </text>
    </comment>
    <comment ref="C12" authorId="0">
      <text>
        <r>
          <rPr>
            <sz val="10"/>
            <rFont val="Arial"/>
            <family val="2"/>
          </rPr>
          <t>Select only one program college</t>
        </r>
      </text>
    </comment>
    <comment ref="E14" authorId="0">
      <text>
        <r>
          <rPr>
            <sz val="10"/>
            <rFont val="Arial"/>
            <family val="2"/>
          </rPr>
          <t>select using drop down</t>
        </r>
      </text>
    </comment>
    <comment ref="E22" authorId="0">
      <text>
        <r>
          <rPr>
            <sz val="10"/>
            <rFont val="Arial"/>
            <family val="2"/>
          </rPr>
          <t>Adjust if you have more accurate retention information.
The completion rate is based on the compounded retention rate over the life of the program</t>
        </r>
      </text>
    </comment>
    <comment ref="E23" authorId="0">
      <text>
        <r>
          <rPr>
            <sz val="10"/>
            <rFont val="Arial"/>
            <family val="2"/>
          </rPr>
          <t>Adjust if you have more accurate retention information.
The completion rate is based on the compounded retention rate over the life of the program</t>
        </r>
      </text>
    </comment>
    <comment ref="H23" authorId="0">
      <text>
        <r>
          <rPr>
            <sz val="10"/>
            <rFont val="Arial"/>
            <family val="2"/>
          </rPr>
          <t>How many credit hours will be taken each semester on average by part-time students?</t>
        </r>
      </text>
    </comment>
    <comment ref="E24" authorId="0">
      <text>
        <r>
          <rPr>
            <sz val="10"/>
            <rFont val="Arial"/>
            <family val="2"/>
          </rPr>
          <t>select using drop down</t>
        </r>
      </text>
    </comment>
    <comment ref="C27" authorId="0">
      <text>
        <r>
          <rPr>
            <sz val="10"/>
            <rFont val="Arial"/>
            <family val="2"/>
          </rPr>
          <t>Refer to Gen Ed Requirements tab</t>
        </r>
      </text>
    </comment>
    <comment ref="C30" authorId="0">
      <text>
        <r>
          <rPr>
            <sz val="10"/>
            <rFont val="Arial"/>
            <family val="2"/>
          </rPr>
          <t>Incremental to RIT, not internal transfers.  1st year intake only.</t>
        </r>
      </text>
    </comment>
    <comment ref="C31" authorId="0">
      <text>
        <r>
          <rPr>
            <sz val="10"/>
            <rFont val="Arial"/>
            <family val="2"/>
          </rPr>
          <t>Incremental to RIT, not internal transfers.  1st year intake only.</t>
        </r>
      </text>
    </comment>
    <comment ref="C39" authorId="0">
      <text>
        <r>
          <rPr>
            <sz val="10"/>
            <rFont val="Arial"/>
            <family val="2"/>
          </rPr>
          <t xml:space="preserve">If stipend for directorship, enter amount plus course release estimate value for 10% release per course
</t>
        </r>
      </text>
    </comment>
    <comment ref="C40" authorId="0">
      <text>
        <r>
          <rPr>
            <sz val="10"/>
            <rFont val="Arial"/>
            <family val="2"/>
          </rPr>
          <t>Provost recommended rates:  Undergrad max per semester credit hour: Bachelor - $1,152, Masters - $1,360, Doctorate - $1,604
                                            Graduate max per semester credit hour:  Doctorate - $1,764</t>
        </r>
      </text>
    </comment>
    <comment ref="C41" authorId="0">
      <text>
        <r>
          <rPr>
            <sz val="10"/>
            <rFont val="Arial"/>
            <family val="2"/>
          </rPr>
          <t>1.0 FTE Avg Salary is $40K</t>
        </r>
      </text>
    </comment>
    <comment ref="C42" authorId="0">
      <text/>
    </comment>
    <comment ref="C43" authorId="0">
      <text>
        <r>
          <rPr>
            <sz val="10"/>
            <rFont val="Arial"/>
            <family val="2"/>
          </rPr>
          <t xml:space="preserve">10% per course, i.e. 1 course release for a faculty at $100K = </t>
        </r>
        <r>
          <rPr>
            <b/>
            <sz val="10"/>
            <color indexed="81"/>
            <rFont val="Arial"/>
            <family val="2"/>
          </rPr>
          <t>$10,000</t>
        </r>
        <r>
          <rPr>
            <sz val="10"/>
            <rFont val="Arial"/>
            <family val="2"/>
          </rPr>
          <t xml:space="preserve"> to be entered in the cell</t>
        </r>
      </text>
    </comment>
    <comment ref="C44" authorId="0">
      <text>
        <r>
          <rPr>
            <sz val="10"/>
            <rFont val="Arial"/>
            <family val="2"/>
          </rPr>
          <t>Above and beyond for course delivery</t>
        </r>
      </text>
    </comment>
    <comment ref="C45" authorId="0">
      <text>
        <r>
          <rPr>
            <sz val="10"/>
            <rFont val="Arial"/>
            <family val="2"/>
          </rPr>
          <t>This would be an incremental advisor requirement in addition to the existing advisors.  Academic advising caseloads are 275:1 and 300:1</t>
        </r>
      </text>
    </comment>
    <comment ref="C46" authorId="0">
      <text/>
    </comment>
    <comment ref="C47" authorId="0">
      <text/>
    </comment>
    <comment ref="C48" authorId="0">
      <text/>
    </comment>
    <comment ref="C49" authorId="0">
      <text/>
    </comment>
    <comment ref="C50" authorId="0">
      <text/>
    </comment>
    <comment ref="C51" authorId="0">
      <text>
        <r>
          <rPr>
            <sz val="10"/>
            <rFont val="Arial"/>
            <family val="2"/>
          </rPr>
          <t>computers required for incremental FTE that will cost less than $1,500</t>
        </r>
      </text>
    </comment>
    <comment ref="C52" authorId="0">
      <text/>
    </comment>
    <comment ref="C53" authorId="0">
      <text/>
    </comment>
    <comment ref="C54" authorId="0">
      <text/>
    </comment>
    <comment ref="C55" authorId="0">
      <text/>
    </comment>
    <comment ref="C57" authorId="0">
      <text>
        <r>
          <rPr>
            <sz val="10"/>
            <rFont val="Arial"/>
            <family val="2"/>
          </rPr>
          <t xml:space="preserve">Refer to Report-Details Tab for # of Incremental </t>
        </r>
        <r>
          <rPr>
            <b/>
            <sz val="10"/>
            <color indexed="81"/>
            <rFont val="Arial"/>
            <family val="2"/>
          </rPr>
          <t>Program Faculty</t>
        </r>
        <r>
          <rPr>
            <sz val="10"/>
            <rFont val="Arial"/>
            <family val="2"/>
          </rPr>
          <t xml:space="preserve"> calculated per student enrollment.  
Only include portion of start up that is not capitalized on this line.  Include capitalized portion on rows 64 or 65.</t>
        </r>
      </text>
    </comment>
    <comment ref="C58" authorId="0">
      <text/>
    </comment>
    <comment ref="C59" authorId="0">
      <text/>
    </comment>
    <comment ref="C60" authorId="0">
      <text>
        <r>
          <rPr>
            <sz val="10"/>
            <rFont val="Arial"/>
            <family val="2"/>
          </rPr>
          <t>Category not shown above</t>
        </r>
      </text>
    </comment>
    <comment ref="C61" authorId="0">
      <text>
        <r>
          <rPr>
            <sz val="10"/>
            <rFont val="Arial"/>
            <family val="2"/>
          </rPr>
          <t>Category not shown above</t>
        </r>
      </text>
    </comment>
    <comment ref="C64" authorId="0">
      <text>
        <r>
          <rPr>
            <sz val="10"/>
            <rFont val="Arial"/>
            <family val="2"/>
          </rPr>
          <t>i.e. Computers &gt;$1,500, lab equipment, etc…
Will be expensed over 5 years on Report-Details Tab.</t>
        </r>
      </text>
    </comment>
    <comment ref="C65" authorId="0">
      <text>
        <r>
          <rPr>
            <sz val="10"/>
            <rFont val="Arial"/>
            <family val="2"/>
          </rPr>
          <t>i.e. Computers &gt;$1,500, lab equipment, etc…
Will be expensed over 5 years on Report-Details Tab.</t>
        </r>
      </text>
    </comment>
    <comment ref="B68" authorId="0">
      <text>
        <r>
          <rPr>
            <sz val="10"/>
            <rFont val="Arial"/>
            <family val="2"/>
          </rPr>
          <t>Use only row 68 and select from drop down if space required is either 100% new or 100% renovated.  If you require both use row 69 as well.</t>
        </r>
      </text>
    </comment>
    <comment ref="C68" authorId="0">
      <text>
        <r>
          <rPr>
            <sz val="10"/>
            <rFont val="Arial"/>
            <family val="2"/>
          </rPr>
          <t xml:space="preserve">Use only row 68 and select from the drop down menu if 100% of space requirements are the same type.  </t>
        </r>
      </text>
    </comment>
    <comment ref="C72" authorId="0">
      <text>
        <r>
          <rPr>
            <sz val="10"/>
            <rFont val="Arial"/>
            <family val="2"/>
          </rPr>
          <t>Will be expensed over 20 years if building renovation and 40 years if a new building.  Key in # of square feet, select New / Renov, select Type of Space</t>
        </r>
      </text>
    </comment>
  </commentList>
</comments>
</file>

<file path=xl/comments2.xml><?xml version="1.0" encoding="utf-8"?>
<comments xmlns="http://schemas.openxmlformats.org/spreadsheetml/2006/main">
  <authors>
    <author>Lloyd Russow</author>
  </authors>
  <commentList>
    <comment ref="Y26" authorId="0">
      <text>
        <r>
          <rPr>
            <sz val="10"/>
            <rFont val="Arial"/>
            <family val="2"/>
          </rPr>
          <t>adjust for inflation</t>
        </r>
      </text>
    </comment>
    <comment ref="A43" authorId="0">
      <text>
        <r>
          <rPr>
            <sz val="9"/>
            <color indexed="81"/>
            <rFont val="Calibri"/>
            <family val="2"/>
            <scheme val="minor"/>
          </rPr>
          <t>Operational Overhead is calculated on salaries, benefits, &amp; non-salary (not capital)</t>
        </r>
      </text>
    </comment>
    <comment ref="A45" authorId="0">
      <text>
        <r>
          <rPr>
            <sz val="9"/>
            <color indexed="81"/>
            <rFont val="Calibri"/>
            <family val="2"/>
            <scheme val="minor"/>
          </rPr>
          <t>Depreciation Only</t>
        </r>
      </text>
    </comment>
    <comment ref="A46" authorId="0">
      <text>
        <r>
          <rPr>
            <sz val="9"/>
            <color indexed="81"/>
            <rFont val="Calibri"/>
            <family val="2"/>
            <scheme val="minor"/>
          </rPr>
          <t>Depreciation Only</t>
        </r>
      </text>
    </comment>
    <comment ref="A47" authorId="0">
      <text>
        <r>
          <rPr>
            <sz val="9"/>
            <color indexed="81"/>
            <rFont val="Calibri"/>
            <family val="2"/>
            <scheme val="minor"/>
          </rPr>
          <t>Depreciation Only</t>
        </r>
      </text>
    </comment>
  </commentList>
</comments>
</file>

<file path=xl/comments3.xml><?xml version="1.0" encoding="utf-8"?>
<comments xmlns="http://schemas.openxmlformats.org/spreadsheetml/2006/main">
  <authors>
    <author>Lloyd Russow</author>
    <author>Jackie Taylor</author>
  </authors>
  <commentList>
    <comment ref="Q14" authorId="0">
      <text>
        <r>
          <rPr>
            <sz val="10"/>
            <rFont val="Arial"/>
            <family val="2"/>
          </rPr>
          <t xml:space="preserve">updated per 20121-3 course info. 
</t>
        </r>
      </text>
    </comment>
    <comment ref="R15" authorId="0">
      <text>
        <r>
          <rPr>
            <sz val="10"/>
            <rFont val="Arial"/>
            <family val="2"/>
          </rPr>
          <t>Assume 50% Lecturer at a load of 8 and 50% T/TT at a load of 5</t>
        </r>
      </text>
    </comment>
    <comment ref="R16" authorId="0">
      <text>
        <r>
          <rPr>
            <sz val="10"/>
            <rFont val="Arial"/>
            <family val="2"/>
          </rPr>
          <t>Assume 50% Lecturer at a load of 8 and 50% T/TT at a load of 5</t>
        </r>
      </text>
    </comment>
    <comment ref="C129" authorId="1">
      <text>
        <r>
          <rPr>
            <sz val="9"/>
            <color indexed="81"/>
            <rFont val="Tahoma"/>
            <family val="2"/>
          </rPr>
          <t xml:space="preserve">
net of co-op</t>
        </r>
      </text>
    </comment>
    <comment ref="C131" authorId="1">
      <text>
        <r>
          <rPr>
            <sz val="9"/>
            <color indexed="81"/>
            <rFont val="Tahoma"/>
            <family val="2"/>
          </rPr>
          <t xml:space="preserve">
round up for full FTE</t>
        </r>
      </text>
    </comment>
  </commentList>
</comments>
</file>

<file path=xl/comments4.xml><?xml version="1.0" encoding="utf-8"?>
<comments xmlns="http://schemas.openxmlformats.org/spreadsheetml/2006/main">
  <authors>
    <author>Jackie Taylor</author>
    <author>Lloyd Russow</author>
  </authors>
  <commentList>
    <comment ref="K20" authorId="0">
      <text>
        <r>
          <rPr>
            <b/>
            <sz val="9"/>
            <color indexed="81"/>
            <rFont val="Tahoma"/>
            <family val="2"/>
          </rPr>
          <t>published rate</t>
        </r>
        <r>
          <rPr>
            <sz val="9"/>
            <color indexed="81"/>
            <rFont val="Tahoma"/>
            <family val="2"/>
          </rPr>
          <t xml:space="preserve">
</t>
        </r>
      </text>
    </comment>
    <comment ref="L20" authorId="0">
      <text>
        <r>
          <rPr>
            <b/>
            <sz val="9"/>
            <color indexed="81"/>
            <rFont val="Tahoma"/>
            <family val="2"/>
          </rPr>
          <t>published rate</t>
        </r>
        <r>
          <rPr>
            <sz val="9"/>
            <color indexed="81"/>
            <rFont val="Tahoma"/>
            <family val="2"/>
          </rPr>
          <t xml:space="preserve">
</t>
        </r>
      </text>
    </comment>
    <comment ref="K21" authorId="0">
      <text>
        <r>
          <rPr>
            <b/>
            <sz val="9"/>
            <color indexed="81"/>
            <rFont val="Tahoma"/>
            <family val="2"/>
          </rPr>
          <t>published rate</t>
        </r>
        <r>
          <rPr>
            <sz val="9"/>
            <color indexed="81"/>
            <rFont val="Tahoma"/>
            <family val="2"/>
          </rPr>
          <t xml:space="preserve">
</t>
        </r>
      </text>
    </comment>
    <comment ref="L21" authorId="0">
      <text>
        <r>
          <rPr>
            <b/>
            <sz val="9"/>
            <color indexed="81"/>
            <rFont val="Tahoma"/>
            <family val="2"/>
          </rPr>
          <t>published rate</t>
        </r>
        <r>
          <rPr>
            <sz val="9"/>
            <color indexed="81"/>
            <rFont val="Tahoma"/>
            <family val="2"/>
          </rPr>
          <t xml:space="preserve">
</t>
        </r>
      </text>
    </comment>
    <comment ref="K22" authorId="0">
      <text>
        <r>
          <rPr>
            <b/>
            <sz val="9"/>
            <color indexed="81"/>
            <rFont val="Tahoma"/>
            <family val="2"/>
          </rPr>
          <t>published rate</t>
        </r>
        <r>
          <rPr>
            <sz val="9"/>
            <color indexed="81"/>
            <rFont val="Tahoma"/>
            <family val="2"/>
          </rPr>
          <t xml:space="preserve">
</t>
        </r>
      </text>
    </comment>
    <comment ref="L22" authorId="0">
      <text>
        <r>
          <rPr>
            <b/>
            <sz val="9"/>
            <color indexed="81"/>
            <rFont val="Tahoma"/>
            <family val="2"/>
          </rPr>
          <t>published rate</t>
        </r>
        <r>
          <rPr>
            <sz val="9"/>
            <color indexed="81"/>
            <rFont val="Tahoma"/>
            <family val="2"/>
          </rPr>
          <t xml:space="preserve">
</t>
        </r>
      </text>
    </comment>
    <comment ref="K30" authorId="0">
      <text>
        <r>
          <rPr>
            <b/>
            <sz val="9"/>
            <color indexed="81"/>
            <rFont val="Tahoma"/>
            <family val="2"/>
          </rPr>
          <t>published rate</t>
        </r>
        <r>
          <rPr>
            <sz val="9"/>
            <color indexed="81"/>
            <rFont val="Tahoma"/>
            <family val="2"/>
          </rPr>
          <t xml:space="preserve">
</t>
        </r>
      </text>
    </comment>
    <comment ref="L30" authorId="0">
      <text>
        <r>
          <rPr>
            <b/>
            <sz val="9"/>
            <color indexed="81"/>
            <rFont val="Tahoma"/>
            <family val="2"/>
          </rPr>
          <t>published rate</t>
        </r>
        <r>
          <rPr>
            <sz val="9"/>
            <color indexed="81"/>
            <rFont val="Tahoma"/>
            <family val="2"/>
          </rPr>
          <t xml:space="preserve">
</t>
        </r>
      </text>
    </comment>
    <comment ref="K31" authorId="0">
      <text>
        <r>
          <rPr>
            <b/>
            <sz val="9"/>
            <color indexed="81"/>
            <rFont val="Tahoma"/>
            <family val="2"/>
          </rPr>
          <t>published rate</t>
        </r>
        <r>
          <rPr>
            <sz val="9"/>
            <color indexed="81"/>
            <rFont val="Tahoma"/>
            <family val="2"/>
          </rPr>
          <t xml:space="preserve">
</t>
        </r>
      </text>
    </comment>
    <comment ref="L31" authorId="0">
      <text>
        <r>
          <rPr>
            <b/>
            <sz val="9"/>
            <color indexed="81"/>
            <rFont val="Tahoma"/>
            <family val="2"/>
          </rPr>
          <t>published rate</t>
        </r>
        <r>
          <rPr>
            <sz val="9"/>
            <color indexed="81"/>
            <rFont val="Tahoma"/>
            <family val="2"/>
          </rPr>
          <t xml:space="preserve">
</t>
        </r>
      </text>
    </comment>
    <comment ref="K32" authorId="0">
      <text>
        <r>
          <rPr>
            <b/>
            <sz val="9"/>
            <color indexed="81"/>
            <rFont val="Tahoma"/>
            <family val="2"/>
          </rPr>
          <t>published rate</t>
        </r>
        <r>
          <rPr>
            <sz val="9"/>
            <color indexed="81"/>
            <rFont val="Tahoma"/>
            <family val="2"/>
          </rPr>
          <t xml:space="preserve">
</t>
        </r>
      </text>
    </comment>
    <comment ref="L32" authorId="0">
      <text>
        <r>
          <rPr>
            <b/>
            <sz val="9"/>
            <color indexed="81"/>
            <rFont val="Tahoma"/>
            <family val="2"/>
          </rPr>
          <t>published rate</t>
        </r>
        <r>
          <rPr>
            <sz val="9"/>
            <color indexed="81"/>
            <rFont val="Tahoma"/>
            <family val="2"/>
          </rPr>
          <t xml:space="preserve">
</t>
        </r>
      </text>
    </comment>
    <comment ref="B52" authorId="1">
      <text>
        <r>
          <rPr>
            <sz val="10"/>
            <rFont val="Arial"/>
            <family val="2"/>
          </rPr>
          <t>Same as Federal Administrative Rate</t>
        </r>
      </text>
    </comment>
  </commentList>
</comments>
</file>

<file path=xl/comments5.xml><?xml version="1.0" encoding="utf-8"?>
<comments xmlns="http://schemas.openxmlformats.org/spreadsheetml/2006/main">
  <authors>
    <author>Jackie Taylor</author>
  </authors>
  <commentList>
    <comment ref="C36" authorId="0">
      <text>
        <r>
          <rPr>
            <b/>
            <sz val="9"/>
            <color indexed="81"/>
            <rFont val="Tahoma"/>
            <family val="2"/>
          </rPr>
          <t>Jackie Taylor:</t>
        </r>
        <r>
          <rPr>
            <sz val="9"/>
            <color indexed="81"/>
            <rFont val="Tahoma"/>
            <family val="2"/>
          </rPr>
          <t xml:space="preserve">
Per Brad Wanner as of 7-8-14.  Averages do not include administrative stipends</t>
        </r>
      </text>
    </comment>
    <comment ref="C37" authorId="0">
      <text>
        <r>
          <rPr>
            <b/>
            <sz val="9"/>
            <color indexed="81"/>
            <rFont val="Tahoma"/>
            <family val="2"/>
          </rPr>
          <t>Jackie Taylor:</t>
        </r>
        <r>
          <rPr>
            <sz val="9"/>
            <color indexed="81"/>
            <rFont val="Tahoma"/>
            <family val="2"/>
          </rPr>
          <t xml:space="preserve">
Average of Undergrade Max with MS and Midpoint Graduate with Doctorate</t>
        </r>
      </text>
    </comment>
    <comment ref="C38" authorId="0">
      <text>
        <r>
          <rPr>
            <b/>
            <sz val="9"/>
            <color indexed="81"/>
            <rFont val="Tahoma"/>
            <family val="2"/>
          </rPr>
          <t>Per HR Oct-2-2012 extract</t>
        </r>
        <r>
          <rPr>
            <sz val="9"/>
            <color indexed="81"/>
            <rFont val="Tahoma"/>
            <family val="2"/>
          </rPr>
          <t xml:space="preserve">
Did not inflate to offset the 12 month faculty in weighted average</t>
        </r>
      </text>
    </comment>
    <comment ref="C39" authorId="0">
      <text>
        <r>
          <rPr>
            <sz val="9"/>
            <color indexed="81"/>
            <rFont val="Tahoma"/>
            <family val="2"/>
          </rPr>
          <t xml:space="preserve">
average of latest Max for MS/Doctorate for Grad class</t>
        </r>
      </text>
    </comment>
  </commentList>
</comments>
</file>

<file path=xl/comments6.xml><?xml version="1.0" encoding="utf-8"?>
<comments xmlns="http://schemas.openxmlformats.org/spreadsheetml/2006/main">
  <authors>
    <author>Jackie Taylor</author>
  </authors>
  <commentList>
    <comment ref="L17" authorId="0">
      <text>
        <r>
          <rPr>
            <b/>
            <sz val="9"/>
            <color indexed="81"/>
            <rFont val="Tahoma"/>
            <family val="2"/>
          </rPr>
          <t>Jackie Taylor:</t>
        </r>
        <r>
          <rPr>
            <sz val="9"/>
            <color indexed="81"/>
            <rFont val="Tahoma"/>
            <family val="2"/>
          </rPr>
          <t xml:space="preserve">
50% COLA
35% COS
15% SCB</t>
        </r>
      </text>
    </comment>
  </commentList>
</comments>
</file>

<file path=xl/sharedStrings.xml><?xml version="1.0" encoding="utf-8"?>
<sst xmlns="http://schemas.openxmlformats.org/spreadsheetml/2006/main" count="465" uniqueCount="290">
  <si>
    <t>TOTAL</t>
  </si>
  <si>
    <t>Fringe</t>
  </si>
  <si>
    <t>FICA</t>
  </si>
  <si>
    <t>Student Salaries</t>
  </si>
  <si>
    <t>Instructional Supplies</t>
  </si>
  <si>
    <t>Honoraria</t>
  </si>
  <si>
    <t>Equip. Maint &amp; Repair</t>
  </si>
  <si>
    <t>Admin. Asst.</t>
  </si>
  <si>
    <t>Date:</t>
  </si>
  <si>
    <t>Total Number of Program Credits</t>
  </si>
  <si>
    <t>Fringe benefits are calculated on full-time personnel only; FICA on part-time personnel only.</t>
  </si>
  <si>
    <t>1)</t>
  </si>
  <si>
    <t>2)</t>
  </si>
  <si>
    <t>3)</t>
  </si>
  <si>
    <t>4)</t>
  </si>
  <si>
    <t>5)</t>
  </si>
  <si>
    <t>7)</t>
  </si>
  <si>
    <t>8)</t>
  </si>
  <si>
    <t>Enter name of program:</t>
  </si>
  <si>
    <t>Total</t>
  </si>
  <si>
    <t>Please read comments - indicated by read triangle in upper-right corner of the cell</t>
  </si>
  <si>
    <t>Year</t>
  </si>
  <si>
    <r>
      <rPr>
        <b/>
        <sz val="11"/>
        <rFont val="Calibri"/>
        <family val="2"/>
        <scheme val="minor"/>
      </rPr>
      <t xml:space="preserve">Expense </t>
    </r>
    <r>
      <rPr>
        <sz val="10"/>
        <rFont val="Calibri"/>
        <family val="2"/>
        <scheme val="minor"/>
      </rPr>
      <t>increase</t>
    </r>
  </si>
  <si>
    <r>
      <rPr>
        <b/>
        <sz val="11"/>
        <rFont val="Calibri"/>
        <family val="2"/>
        <scheme val="minor"/>
      </rPr>
      <t xml:space="preserve">Tuition </t>
    </r>
    <r>
      <rPr>
        <sz val="10"/>
        <rFont val="Calibri"/>
        <family val="2"/>
        <scheme val="minor"/>
      </rPr>
      <t>increase</t>
    </r>
  </si>
  <si>
    <t>Average Discount rate/Financial Aid</t>
  </si>
  <si>
    <t>Total Expenses</t>
  </si>
  <si>
    <t>Part-time Faculty expense</t>
  </si>
  <si>
    <t>Full-time faculty expense</t>
  </si>
  <si>
    <t>Average Reallocation rate</t>
  </si>
  <si>
    <t>9)</t>
  </si>
  <si>
    <t>10)</t>
  </si>
  <si>
    <t>Calculations:</t>
  </si>
  <si>
    <t>Existing full-time faculty = program specific average salary * number of credits / average annual load</t>
  </si>
  <si>
    <t>Average fringe rate</t>
  </si>
  <si>
    <t>Average FICA rate</t>
  </si>
  <si>
    <t>11)</t>
  </si>
  <si>
    <t>Existing full-time faculty are based upon the number of credits taught (from Input tab, row 53), average program-specific salary (from Calculations tab, row 29) and average course load (from Calculations tab, row 35)</t>
  </si>
  <si>
    <t>Number of Students</t>
  </si>
  <si>
    <t>= calculated rates</t>
  </si>
  <si>
    <t>"Inflection Points"</t>
  </si>
  <si>
    <t>Average FT faculty salary (w/o benefits)</t>
  </si>
  <si>
    <t xml:space="preserve">Average adjunct salary per course. </t>
  </si>
  <si>
    <t>Input amount for LA courses, the rest are calculated as a ratio of full-time faculty salaries.</t>
  </si>
  <si>
    <t>Today's Date:</t>
  </si>
  <si>
    <t>Retention rate:</t>
  </si>
  <si>
    <t>Per Credit Tuition</t>
  </si>
  <si>
    <t>Full-time semester/annual/other tuition</t>
  </si>
  <si>
    <t>Tuition</t>
  </si>
  <si>
    <t>Faculty Salaries</t>
  </si>
  <si>
    <t>Average adjunct salary per course.</t>
  </si>
  <si>
    <t>= Lookup calculation - tuition rates on "Reports-Detail" tab input.</t>
  </si>
  <si>
    <t>Contribution Margin</t>
  </si>
  <si>
    <t>NEW GRADUATE PROGRAM BUDGET TEMPLATE</t>
  </si>
  <si>
    <t>Year 1</t>
  </si>
  <si>
    <t>Year 2</t>
  </si>
  <si>
    <t>Year 3</t>
  </si>
  <si>
    <t>Year 4</t>
  </si>
  <si>
    <t>New Program/Major</t>
  </si>
  <si>
    <r>
      <t xml:space="preserve">Inflection points = point at which we must add additional sections. For example if 'inflection point' = 15; for each 15 new students, must add one section of </t>
    </r>
    <r>
      <rPr>
        <b/>
        <u/>
        <sz val="10"/>
        <rFont val="Calibri"/>
        <family val="2"/>
        <scheme val="minor"/>
      </rPr>
      <t>each</t>
    </r>
    <r>
      <rPr>
        <sz val="10"/>
        <rFont val="Calibri"/>
        <family val="2"/>
        <scheme val="minor"/>
      </rPr>
      <t xml:space="preserve"> interdisciplinary course. </t>
    </r>
  </si>
  <si>
    <t>Interdisciplinary I</t>
  </si>
  <si>
    <t>Interdisciplinary II</t>
  </si>
  <si>
    <t>Total Number of Courses in Program, by Type</t>
  </si>
  <si>
    <t>Inflection points</t>
  </si>
  <si>
    <t>Name of disciplines: If you change these, change data in green cells below</t>
  </si>
  <si>
    <t>Year 5</t>
  </si>
  <si>
    <t>Program</t>
  </si>
  <si>
    <t>Average adjunct salary per 3-credit course.</t>
  </si>
  <si>
    <t>Average adjunct salary per 1-credit course.</t>
  </si>
  <si>
    <t>ASSUMPTIONS</t>
  </si>
  <si>
    <t>SUMMARY REPORT</t>
  </si>
  <si>
    <t>DETAILED REPORT</t>
  </si>
  <si>
    <r>
      <t xml:space="preserve">Expenses are increased by 3% each year from base entry. </t>
    </r>
    <r>
      <rPr>
        <b/>
        <sz val="9"/>
        <rFont val="Calibri"/>
        <family val="2"/>
        <scheme val="minor"/>
      </rPr>
      <t>Change the rate of change on the "Assumptions" tab</t>
    </r>
    <r>
      <rPr>
        <sz val="9"/>
        <rFont val="Calibri"/>
        <family val="2"/>
        <scheme val="minor"/>
      </rPr>
      <t>.</t>
    </r>
  </si>
  <si>
    <r>
      <t xml:space="preserve">Allocated faculty expense = program specific reallocation percent * number of students * 10 (assume each student takes 30 credits per year as the standard full-time load, each course is 3 credits - 30/3 = 10) * adjunct salary for LA faculty. You may </t>
    </r>
    <r>
      <rPr>
        <b/>
        <sz val="9"/>
        <rFont val="Calibri"/>
        <family val="2"/>
        <scheme val="minor"/>
      </rPr>
      <t>change adjunct salary on "Intermediate Calculations" tab</t>
    </r>
    <r>
      <rPr>
        <sz val="9"/>
        <rFont val="Calibri"/>
        <family val="2"/>
        <scheme val="minor"/>
      </rPr>
      <t>.</t>
    </r>
  </si>
  <si>
    <t>INTERMEDIATE CALCULATIONS</t>
  </si>
  <si>
    <t>Credits</t>
  </si>
  <si>
    <t>Full-time Annual Tuition</t>
  </si>
  <si>
    <t>Per-Credit tuition</t>
  </si>
  <si>
    <t>Per Semester Tuition (PA Program)</t>
  </si>
  <si>
    <t>Assessment Year</t>
  </si>
  <si>
    <t xml:space="preserve">Tuition Charged </t>
  </si>
  <si>
    <t>For Lookup Calculation</t>
  </si>
  <si>
    <t>Summer Salaries</t>
  </si>
  <si>
    <t>COS</t>
  </si>
  <si>
    <t>COLA</t>
  </si>
  <si>
    <t>CIAS</t>
  </si>
  <si>
    <t>KGCOE</t>
  </si>
  <si>
    <t>SCB</t>
  </si>
  <si>
    <t>GIS</t>
  </si>
  <si>
    <t>CAST</t>
  </si>
  <si>
    <t>GCCIS</t>
  </si>
  <si>
    <t>Retention/Student Initiatives</t>
  </si>
  <si>
    <t>ITS Students</t>
  </si>
  <si>
    <t>ITS rate:</t>
  </si>
  <si>
    <t>Annual Average/standard course load (in 5 classes at 3 credits each)</t>
  </si>
  <si>
    <t>Per Semester Tuition</t>
  </si>
  <si>
    <t>TOTAL NET OF AID</t>
  </si>
  <si>
    <t>Income and Expense Projections for Projected Program</t>
  </si>
  <si>
    <t xml:space="preserve"> Income and Expense Projections for Proposed Program</t>
  </si>
  <si>
    <t>Delta between base salary year and projected year start</t>
  </si>
  <si>
    <t>Add comments below as needed</t>
  </si>
  <si>
    <t>Avg Enrollment: Students (FT + PT)</t>
  </si>
  <si>
    <t xml:space="preserve">Operational Overhead </t>
  </si>
  <si>
    <r>
      <t xml:space="preserve">The tuition for the first year is based on most recent year; thereafter increased at 3.5%. You may </t>
    </r>
    <r>
      <rPr>
        <b/>
        <sz val="9"/>
        <rFont val="Calibri"/>
        <family val="2"/>
        <scheme val="minor"/>
      </rPr>
      <t>change the rate of change on the "Assumptions" tab</t>
    </r>
    <r>
      <rPr>
        <sz val="9"/>
        <rFont val="Calibri"/>
        <family val="2"/>
        <scheme val="minor"/>
      </rPr>
      <t>.</t>
    </r>
  </si>
  <si>
    <r>
      <t xml:space="preserve">Retention is set at 99% in year two; 98% in year three; and 97% in year four. </t>
    </r>
    <r>
      <rPr>
        <b/>
        <sz val="9"/>
        <rFont val="Calibri"/>
        <family val="2"/>
        <scheme val="minor"/>
      </rPr>
      <t>Change retention rates on the "Assumptions" tab</t>
    </r>
    <r>
      <rPr>
        <sz val="9"/>
        <rFont val="Calibri"/>
        <family val="2"/>
        <scheme val="minor"/>
      </rPr>
      <t>.</t>
    </r>
  </si>
  <si>
    <t>The blank lines noted as xxxx are for any additional line item</t>
  </si>
  <si>
    <r>
      <t xml:space="preserve">Program grows in first four years and becomes established in Year 5; Assume requires two and one-half years to complete program. </t>
    </r>
    <r>
      <rPr>
        <b/>
        <sz val="9"/>
        <rFont val="Calibri"/>
        <family val="2"/>
        <scheme val="minor"/>
      </rPr>
      <t>Change this rate on "Assumptions" tab</t>
    </r>
    <r>
      <rPr>
        <sz val="9"/>
        <rFont val="Calibri"/>
        <family val="2"/>
        <scheme val="minor"/>
      </rPr>
      <t>.</t>
    </r>
  </si>
  <si>
    <r>
      <t xml:space="preserve">Financial Aid is based up on college averages. </t>
    </r>
    <r>
      <rPr>
        <b/>
        <sz val="9"/>
        <rFont val="Calibri"/>
        <family val="2"/>
        <scheme val="minor"/>
      </rPr>
      <t>Can be changed on "Assumptions" tab.</t>
    </r>
  </si>
  <si>
    <t>CHST</t>
  </si>
  <si>
    <t>Fiscal Year</t>
  </si>
  <si>
    <t>Salaries in years two - five are adjusted by expense increase in "Assumptions" tab</t>
  </si>
  <si>
    <t>CONTRIBUTION MARGIN Surplus/(Deficit)</t>
  </si>
  <si>
    <t xml:space="preserve">Please enter Data on input sheets ONLY; all others are self-calculating. </t>
  </si>
  <si>
    <t>Operational Overhead is calculated as 35.6% of all expenses except ITS, and Capital</t>
  </si>
  <si>
    <t xml:space="preserve">Note : This sheet is password protected to maintain the formulas. </t>
  </si>
  <si>
    <t>Yes</t>
  </si>
  <si>
    <t>Admin. Asst. (w/o benefits)</t>
  </si>
  <si>
    <t>Enrollment</t>
  </si>
  <si>
    <t>Program Director Stipend</t>
  </si>
  <si>
    <t>Graduate TA or RA</t>
  </si>
  <si>
    <t>Did not populate if Input tab was not completed in full.</t>
  </si>
  <si>
    <t>Program Director (w/o benefits)</t>
  </si>
  <si>
    <t>Technical Staff</t>
  </si>
  <si>
    <t>Technical Staff (w/o benefits)</t>
  </si>
  <si>
    <t>Computer Supplies</t>
  </si>
  <si>
    <t>Advisor (w/o benefits)</t>
  </si>
  <si>
    <t>Summer Salaries (w/o benefits)</t>
  </si>
  <si>
    <t>Professional Development/Travel</t>
  </si>
  <si>
    <t>Below this line - no overhead applied</t>
  </si>
  <si>
    <t>Software</t>
  </si>
  <si>
    <t>You may enter data in all three years (override formula) or allow data in years two and three be calculated for you.</t>
  </si>
  <si>
    <t>Library - per Resource Librarian</t>
  </si>
  <si>
    <t>Overhead</t>
  </si>
  <si>
    <t>Expenses</t>
  </si>
  <si>
    <t>Note:  This sheet is password protected to maintain the formulas</t>
  </si>
  <si>
    <t>INCREMENTAL EXPENSES</t>
  </si>
  <si>
    <t>INCREMENTAL REVENUE</t>
  </si>
  <si>
    <t>Allocated Faculty Expense is cost to pay faculty in SCB. Assumptions include that COLA/COS classes are taught partially by adjunct faculty.</t>
  </si>
  <si>
    <t>TOTAL GROSS REVENUE</t>
  </si>
  <si>
    <t>FINANCIAL AID</t>
  </si>
  <si>
    <t>Revenue (Net of Aid)</t>
  </si>
  <si>
    <t>Note : This tab is hidden and password protected</t>
  </si>
  <si>
    <t>MaskTable</t>
  </si>
  <si>
    <t>FT Yrs to Compl</t>
  </si>
  <si>
    <t>Total CrHr</t>
  </si>
  <si>
    <t>Year 6</t>
  </si>
  <si>
    <t>Avg Sect Size</t>
  </si>
  <si>
    <t>Avg Fac Load/Yr</t>
  </si>
  <si>
    <t>Bachelors 4 Yr</t>
  </si>
  <si>
    <t>UG</t>
  </si>
  <si>
    <t>Bachelors 5 yr w/Coop</t>
  </si>
  <si>
    <t>Masters - 2 Yr 30</t>
  </si>
  <si>
    <t>Grad</t>
  </si>
  <si>
    <t>Masters - 2 yr 36</t>
  </si>
  <si>
    <t>Program Type</t>
  </si>
  <si>
    <t>Preloaded FT CrHr Mask</t>
  </si>
  <si>
    <t>FT Basis for Model</t>
  </si>
  <si>
    <t>Student Completion Profiles</t>
  </si>
  <si>
    <t>Retention
Rate / year</t>
  </si>
  <si>
    <t>Completion Rate</t>
  </si>
  <si>
    <t>Years to Complete</t>
  </si>
  <si>
    <t>Crs/Sem</t>
  </si>
  <si>
    <t>Full Time</t>
  </si>
  <si>
    <t>Part Time</t>
  </si>
  <si>
    <t>Term</t>
  </si>
  <si>
    <t>Attriting from prior year (Headcount)</t>
  </si>
  <si>
    <t>Completing this Year (Headcount)</t>
  </si>
  <si>
    <t>Total Enrollment (Headcount)</t>
  </si>
  <si>
    <t>Chk</t>
  </si>
  <si>
    <t>Cohort Groups</t>
  </si>
  <si>
    <t>Credit Hour Matrix</t>
  </si>
  <si>
    <t>Coh</t>
  </si>
  <si>
    <t>Student Year Level</t>
  </si>
  <si>
    <t>CrHr Demand</t>
  </si>
  <si>
    <t>Total Students</t>
  </si>
  <si>
    <t>Total CrHr Demand</t>
  </si>
  <si>
    <t>Avg Section Size</t>
  </si>
  <si>
    <t>Number of Sections</t>
  </si>
  <si>
    <t>SCrHr Gen'd / Section</t>
  </si>
  <si>
    <t>FTE Faculty Required</t>
  </si>
  <si>
    <t>Faculty Course Load/Acad Year</t>
  </si>
  <si>
    <t>Students by Billing Status</t>
  </si>
  <si>
    <t>Full Time - UG</t>
  </si>
  <si>
    <t>Pct &gt; 12CrHr</t>
  </si>
  <si>
    <t>Part Time - UG</t>
  </si>
  <si>
    <t>Full Time - Grad</t>
  </si>
  <si>
    <t>Part Time - Grad</t>
  </si>
  <si>
    <t>St CrHrs by Billing Status</t>
  </si>
  <si>
    <t>Average Grad Load/Sem</t>
  </si>
  <si>
    <t>Gross Tuition Revenue</t>
  </si>
  <si>
    <t>Program Specific Adjustments *</t>
  </si>
  <si>
    <t xml:space="preserve"> * Adjust if preloaded CrHr course loads are light or heavy</t>
  </si>
  <si>
    <t>Undergradate</t>
  </si>
  <si>
    <t>Graduate</t>
  </si>
  <si>
    <t>Financial Aid</t>
  </si>
  <si>
    <t>Enter 'yes' for program college:</t>
  </si>
  <si>
    <t xml:space="preserve">Tuition </t>
  </si>
  <si>
    <t>Undergraduate</t>
  </si>
  <si>
    <t>Full-time by Billing Status</t>
  </si>
  <si>
    <t>Part-time by Billing Status</t>
  </si>
  <si>
    <t>Summer Classes</t>
  </si>
  <si>
    <t>No</t>
  </si>
  <si>
    <t>Avg Fac CrHr/Yr</t>
  </si>
  <si>
    <r>
      <t xml:space="preserve">FT faculty salaries - </t>
    </r>
    <r>
      <rPr>
        <b/>
        <sz val="10"/>
        <color theme="8" tint="-0.249977111117893"/>
        <rFont val="Calibri"/>
        <family val="2"/>
        <scheme val="minor"/>
      </rPr>
      <t>Interdisciplinary</t>
    </r>
  </si>
  <si>
    <t>INTER-DISCIPLINARY</t>
  </si>
  <si>
    <t xml:space="preserve">Please enter Data on INPUTSHEET.  Every green cell should be reviewed and completed if relevant.  </t>
  </si>
  <si>
    <t>FTE</t>
  </si>
  <si>
    <t>Rate</t>
  </si>
  <si>
    <t>Equipment</t>
  </si>
  <si>
    <t>Building Renovation</t>
  </si>
  <si>
    <r>
      <t xml:space="preserve">FT faculty salaries - </t>
    </r>
    <r>
      <rPr>
        <b/>
        <sz val="10"/>
        <color theme="8" tint="-0.249977111117893"/>
        <rFont val="Calibri"/>
        <family val="2"/>
        <scheme val="minor"/>
      </rPr>
      <t>program</t>
    </r>
  </si>
  <si>
    <t xml:space="preserve">Avg SCH / Year FT Grad </t>
  </si>
  <si>
    <t>Avg SCH / Semester FT Grad</t>
  </si>
  <si>
    <t xml:space="preserve">Avg SCH / Year FT Undergrad </t>
  </si>
  <si>
    <t>Avg SCH / Semester FT Undergrad</t>
  </si>
  <si>
    <t>Students not on Co-op</t>
  </si>
  <si>
    <t>Enter first year of program</t>
  </si>
  <si>
    <t>Course Release (w/o benefits)</t>
  </si>
  <si>
    <t>Start Up  -per FTE</t>
  </si>
  <si>
    <t>Incremental Intake (Headcount)</t>
  </si>
  <si>
    <t>Faculty Recruitment and Moving- per FTE</t>
  </si>
  <si>
    <t>Recruitment, Brochures, conferences</t>
  </si>
  <si>
    <t>Minor Equipment (less than $1,500 ea.)</t>
  </si>
  <si>
    <t>Hours taken outside of Program college-includes general education classes taken outside of the college and required program courses **</t>
  </si>
  <si>
    <t>Space Cost Estimates</t>
  </si>
  <si>
    <t>Space Requirements</t>
  </si>
  <si>
    <t>Net SqFt</t>
  </si>
  <si>
    <t>New / Renov</t>
  </si>
  <si>
    <t>Type of Space</t>
  </si>
  <si>
    <t>Gross SF Base</t>
  </si>
  <si>
    <t>Cost/SF</t>
  </si>
  <si>
    <t>Rough Capital Projection</t>
  </si>
  <si>
    <t>New</t>
  </si>
  <si>
    <t>Classroom</t>
  </si>
  <si>
    <t>Office</t>
  </si>
  <si>
    <t>Wet Lab</t>
  </si>
  <si>
    <t>Lab</t>
  </si>
  <si>
    <t>Cost / SF</t>
  </si>
  <si>
    <t>Renovated</t>
  </si>
  <si>
    <t>Base</t>
  </si>
  <si>
    <t>Accum.  HC</t>
  </si>
  <si>
    <t>Please review Report-Details and Report-Summary tab for calculated program financial results</t>
  </si>
  <si>
    <t>Overview:</t>
  </si>
  <si>
    <t>Each type of degree award requires a different number of general education credits as mandated by the New York State Education Department (NYSED).  When providing guidance, NYSED uses the term “liberal arts and sciences” to refer to general education. In accordance with NYSED’s guidelines, students in the following programs must complete, at a minimum, the number of credits indicated in each category, as illustrated in Table 1.</t>
  </si>
  <si>
    <r>
      <t xml:space="preserve">Table 1. The table shows the </t>
    </r>
    <r>
      <rPr>
        <u/>
        <sz val="11"/>
        <rFont val="Calibri"/>
        <family val="2"/>
      </rPr>
      <t>minimum</t>
    </r>
    <r>
      <rPr>
        <sz val="11"/>
        <rFont val="Calibri"/>
        <family val="2"/>
      </rPr>
      <t xml:space="preserve"> number of semester credit hours (sch) required in each category.  Details can be found in the sections below for each degree program.</t>
    </r>
  </si>
  <si>
    <t>BS</t>
  </si>
  <si>
    <t>BFA</t>
  </si>
  <si>
    <t xml:space="preserve">AAS </t>
  </si>
  <si>
    <t>AS</t>
  </si>
  <si>
    <t xml:space="preserve">Foundation </t>
  </si>
  <si>
    <t>First-Year Seminar*</t>
  </si>
  <si>
    <t>First-Year Writing Intensive course</t>
  </si>
  <si>
    <t xml:space="preserve">Perspectives Categories </t>
  </si>
  <si>
    <t>Immersion</t>
  </si>
  <si>
    <t xml:space="preserve">Three additional, related courses </t>
  </si>
  <si>
    <t>General Education Electives</t>
  </si>
  <si>
    <t xml:space="preserve">MINIMUM TOTAL </t>
  </si>
  <si>
    <t>*First-Year Seminar will not be offered in AY 2014/15, and may be replaced with a General Education Elective</t>
  </si>
  <si>
    <t>Courses approved for use as electives, Foundation, and Perspectives are overseen by the General Education Committee, and designations for each type are marked in the Student Information System.  The choices for Immersions are listed in the Course Bulletin.</t>
  </si>
  <si>
    <r>
      <t>Use of program courses in General Education</t>
    </r>
    <r>
      <rPr>
        <b/>
        <sz val="10"/>
        <rFont val="Arial"/>
        <family val="2"/>
      </rPr>
      <t xml:space="preserve">:   </t>
    </r>
    <r>
      <rPr>
        <sz val="10"/>
        <rFont val="Arial"/>
        <family val="2"/>
      </rPr>
      <t xml:space="preserve">Programs may count no more than three courses (not including labs) from their home academic unit as General Education.  </t>
    </r>
    <r>
      <rPr>
        <sz val="10"/>
        <rFont val="Arial"/>
        <family val="2"/>
      </rPr>
      <t xml:space="preserve">These courses must be approved to carry general education designation by the General Education Committee.  </t>
    </r>
    <r>
      <rPr>
        <sz val="10"/>
        <rFont val="Arial"/>
        <family val="2"/>
      </rPr>
      <t xml:space="preserve">Programs may </t>
    </r>
    <r>
      <rPr>
        <b/>
        <sz val="10"/>
        <rFont val="Arial"/>
        <family val="2"/>
      </rPr>
      <t>NOT</t>
    </r>
    <r>
      <rPr>
        <sz val="10"/>
        <rFont val="Arial"/>
        <family val="2"/>
      </rPr>
      <t xml:space="preserve"> require students to complete a specific immersion or restrict students to a group of immersions.</t>
    </r>
  </si>
  <si>
    <t>The categories for Perspectives courses are as follows:</t>
  </si>
  <si>
    <t>1. Ethical</t>
  </si>
  <si>
    <t>2. Artistic</t>
  </si>
  <si>
    <r>
      <t>3.</t>
    </r>
    <r>
      <rPr>
        <sz val="7"/>
        <rFont val="Times New Roman"/>
        <family val="1"/>
      </rPr>
      <t xml:space="preserve">       </t>
    </r>
    <r>
      <rPr>
        <sz val="11"/>
        <rFont val="Calibri"/>
        <family val="2"/>
      </rPr>
      <t>Global</t>
    </r>
  </si>
  <si>
    <r>
      <t>4.</t>
    </r>
    <r>
      <rPr>
        <sz val="7"/>
        <rFont val="Times New Roman"/>
        <family val="1"/>
      </rPr>
      <t xml:space="preserve">       </t>
    </r>
    <r>
      <rPr>
        <sz val="11"/>
        <rFont val="Calibri"/>
        <family val="2"/>
      </rPr>
      <t>Social</t>
    </r>
  </si>
  <si>
    <r>
      <t>5.</t>
    </r>
    <r>
      <rPr>
        <sz val="7"/>
        <rFont val="Times New Roman"/>
        <family val="1"/>
      </rPr>
      <t xml:space="preserve">       </t>
    </r>
    <r>
      <rPr>
        <sz val="11"/>
        <rFont val="Calibri"/>
        <family val="2"/>
      </rPr>
      <t>Natural Science Inquiry</t>
    </r>
  </si>
  <si>
    <r>
      <t>6.</t>
    </r>
    <r>
      <rPr>
        <sz val="7"/>
        <rFont val="Times New Roman"/>
        <family val="1"/>
      </rPr>
      <t xml:space="preserve">       </t>
    </r>
    <r>
      <rPr>
        <sz val="11"/>
        <rFont val="Calibri"/>
        <family val="2"/>
      </rPr>
      <t>Scientific Principles</t>
    </r>
  </si>
  <si>
    <r>
      <t>7.</t>
    </r>
    <r>
      <rPr>
        <sz val="7"/>
        <rFont val="Times New Roman"/>
        <family val="1"/>
      </rPr>
      <t xml:space="preserve">       </t>
    </r>
    <r>
      <rPr>
        <sz val="11"/>
        <rFont val="Calibri"/>
        <family val="2"/>
      </rPr>
      <t>Mathematical</t>
    </r>
  </si>
  <si>
    <t xml:space="preserve">Framework by Degree Type: </t>
  </si>
  <si>
    <r>
      <t>I.  General Education Guidelines for Bachelor of Science (BS)</t>
    </r>
    <r>
      <rPr>
        <sz val="11"/>
        <rFont val="Calibri"/>
        <family val="2"/>
      </rPr>
      <t>:  Students earning a BS degree must complete a minimum of 60 General Education credits.   In addition to the two Foundation courses, these students must take one course from each of the first six perspective categories and two courses from the Mathematical category for a total of eight courses.  A BS program may not require specific courses in more than three Perspective categories.  The students must also complete an immersion.  The remaining credits can be used as General Education electives.</t>
    </r>
  </si>
  <si>
    <r>
      <t>II.  General Education Guidelines for the Bachelor of Fine Arts (BFA)</t>
    </r>
    <r>
      <rPr>
        <b/>
        <sz val="11"/>
        <rFont val="Calibri"/>
        <family val="2"/>
      </rPr>
      <t xml:space="preserve">:  </t>
    </r>
    <r>
      <rPr>
        <sz val="11"/>
        <rFont val="Calibri"/>
        <family val="2"/>
      </rPr>
      <t>Students earning a BFA degree must complete a minimum of 30 General Education credits. In addition to the two Foundation courses, these students must take a total of four Perspective courses, one from each of the following four categories: Ethical, Artistic, Global, and Social.  A BFA program may not require specific courses in more than two Perspective Categories.  The students must also complete an immersion.  The remaining three credits can be used as a General Education elective.</t>
    </r>
  </si>
  <si>
    <r>
      <t>III.  General Education Guidelines for the Associate of Applied Science (AAS)</t>
    </r>
    <r>
      <rPr>
        <b/>
        <sz val="11"/>
        <rFont val="Calibri"/>
        <family val="2"/>
      </rPr>
      <t xml:space="preserve">:  </t>
    </r>
    <r>
      <rPr>
        <sz val="11"/>
        <rFont val="Calibri"/>
        <family val="2"/>
      </rPr>
      <t>Students earning an AAS degree must complete a minimum of 24 General Education credits. In addition to the two Foundation courses, these students must take a total of five Perspective courses, one each from the following five categories: Ethical, Artistic, Global, Social, and Scientific Principles.  The remaining course will be a General Education elective.</t>
    </r>
  </si>
  <si>
    <r>
      <t>IV.  General Education Guidelines for Associate of Science (AS)</t>
    </r>
    <r>
      <rPr>
        <sz val="11"/>
        <rFont val="Calibri"/>
        <family val="2"/>
      </rPr>
      <t>:  Students earning an AS degree must complete a minimum of 30 General Education credits. In addition to the two Foundation courses, these students must take a total of five Perspective courses, one from each of the following five categories: Ethical, Artistic, Global, Social, and Scientific Principles.  The remaining three courses will be General Education electives.</t>
    </r>
  </si>
  <si>
    <r>
      <t>V. General Education Guidelines for Associate of Occupational Studies (AOS)</t>
    </r>
    <r>
      <rPr>
        <b/>
        <sz val="11"/>
        <rFont val="Calibri"/>
        <family val="2"/>
      </rPr>
      <t xml:space="preserve">:  </t>
    </r>
    <r>
      <rPr>
        <sz val="11"/>
        <rFont val="Calibri"/>
        <family val="2"/>
      </rPr>
      <t>NYSED does not require that an AOS degree include general education courses.  RIT Colleges offering AOS degrees should establish their own guidelines.</t>
    </r>
  </si>
  <si>
    <t>CONCEPT PAPER BUDGET TEMPLATE</t>
  </si>
  <si>
    <t xml:space="preserve"> ** Number of Interdisciplinary Credits in total</t>
  </si>
  <si>
    <t>xxxx</t>
  </si>
  <si>
    <t>Please check box to confirm you have received confirmation from Enrollment Management for above Incremental Intake.  Please submit the confirmation memo with your concept paper.</t>
  </si>
  <si>
    <t>Masters - 1 yr 36</t>
  </si>
  <si>
    <t>Bachelors 5 yr w/o Coop</t>
  </si>
  <si>
    <t>Masters - 1 Yr 30</t>
  </si>
  <si>
    <t>Masters - 1 Yr 36</t>
  </si>
  <si>
    <t>Adjunct Salaries</t>
  </si>
  <si>
    <t>Bachelors 4 yr</t>
  </si>
  <si>
    <t>Masters - 1 yr 30</t>
  </si>
  <si>
    <t>Masters - 2 yr 30</t>
  </si>
  <si>
    <t>template by JRT &amp; RAK 12_19_14</t>
  </si>
  <si>
    <t xml:space="preserve">Computers </t>
  </si>
  <si>
    <r>
      <t xml:space="preserve">FT faculty salaries - </t>
    </r>
    <r>
      <rPr>
        <b/>
        <i/>
        <sz val="10"/>
        <color theme="8" tint="-0.249977111117893"/>
        <rFont val="Calibri"/>
        <family val="2"/>
        <scheme val="minor"/>
      </rPr>
      <t>program (TOTAL)</t>
    </r>
  </si>
  <si>
    <t>Please submit to Leanne Hill for review prior to submission to Academic Affairs</t>
  </si>
  <si>
    <t>For questions, please contact Leanne Hill at lkhcto@rit.edu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</si>
</sst>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
    <numFmt numFmtId="165" formatCode="[$-409]d\-mmm\-yy;@"/>
    <numFmt numFmtId="166" formatCode="0.0"/>
    <numFmt numFmtId="167" formatCode="0.0%"/>
    <numFmt numFmtId="168" formatCode="_(* #,##0_);_(* \(#,##0\);_(* &quot;-&quot;??_);_(@_)"/>
    <numFmt numFmtId="169" formatCode="_(* #,##0.0_);_(* \(#,##0.0\);_(* &quot;-&quot;?_);_(@_)"/>
    <numFmt numFmtId="170" formatCode="_(* #,##0.0_);_(* \(#,##0.0\);_(* &quot;-&quot;??_);_(@_)"/>
    <numFmt numFmtId="171" formatCode="_(&quot;$&quot;* #,##0_);_(&quot;$&quot;* \(#,##0\);_(&quot;$&quot;* &quot;-&quot;??_);_(@_)"/>
    <numFmt numFmtId="172" formatCode="&quot;$&quot;#,##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alibri"/>
      <family val="2"/>
      <scheme val="minor"/>
    </font>
    <font>
      <sz val="12"/>
      <name val="Calibri"/>
      <family val="2"/>
      <scheme val="minor"/>
    </font>
    <font>
      <b/>
      <sz val="9"/>
      <name val="Calibri"/>
      <family val="2"/>
      <scheme val="minor"/>
    </font>
    <font>
      <b/>
      <sz val="10"/>
      <name val="Calibri"/>
      <family val="2"/>
      <scheme val="minor"/>
    </font>
    <font>
      <b/>
      <sz val="12"/>
      <name val="Calibri"/>
      <family val="2"/>
      <scheme val="minor"/>
    </font>
    <font>
      <b/>
      <sz val="10"/>
      <name val="Calibri"/>
      <family val="2"/>
    </font>
    <font>
      <b/>
      <i/>
      <sz val="9"/>
      <name val="Calibri"/>
      <family val="2"/>
      <scheme val="minor"/>
    </font>
    <font>
      <b/>
      <i/>
      <sz val="10"/>
      <name val="Calibri"/>
      <family val="2"/>
      <scheme val="minor"/>
    </font>
    <font>
      <sz val="9"/>
      <color indexed="81"/>
      <name val="Calibri"/>
      <family val="2"/>
      <scheme val="minor"/>
    </font>
    <font>
      <b/>
      <sz val="11"/>
      <name val="Calibri"/>
      <family val="2"/>
      <scheme val="minor"/>
    </font>
    <font>
      <b/>
      <sz val="12"/>
      <color rgb="FFFF0000"/>
      <name val="Calibri"/>
      <family val="2"/>
      <scheme val="minor"/>
    </font>
    <font>
      <b/>
      <sz val="14"/>
      <name val="Calibri"/>
      <family val="2"/>
      <scheme val="minor"/>
    </font>
    <font>
      <b/>
      <u/>
      <sz val="12"/>
      <name val="Calibri"/>
      <family val="2"/>
      <scheme val="minor"/>
    </font>
    <font>
      <b/>
      <u/>
      <sz val="10"/>
      <name val="Calibri"/>
      <family val="2"/>
      <scheme val="minor"/>
    </font>
    <font>
      <b/>
      <sz val="10"/>
      <color theme="8" tint="-0.499984740745262"/>
      <name val="Calibri"/>
      <family val="2"/>
      <scheme val="minor"/>
    </font>
    <font>
      <sz val="9"/>
      <name val="Calibri"/>
      <family val="2"/>
      <scheme val="minor"/>
    </font>
    <font>
      <b/>
      <sz val="10"/>
      <color theme="8" tint="-0.249977111117893"/>
      <name val="Calibri"/>
      <family val="2"/>
      <scheme val="minor"/>
    </font>
    <font>
      <b/>
      <sz val="12"/>
      <color rgb="FFC00000"/>
      <name val="Calibri"/>
      <family val="2"/>
      <scheme val="minor"/>
    </font>
    <font>
      <b/>
      <sz val="14"/>
      <name val="Arial"/>
      <family val="2"/>
    </font>
    <font>
      <sz val="10"/>
      <name val="Arial"/>
      <family val="2"/>
    </font>
    <font>
      <sz val="9"/>
      <color indexed="81"/>
      <name val="Tahoma"/>
      <family val="2"/>
    </font>
    <font>
      <sz val="10"/>
      <name val="Arial"/>
      <family val="2"/>
    </font>
    <font>
      <b/>
      <sz val="12"/>
      <color theme="0" tint="-0.499984740745262"/>
      <name val="Calibri"/>
      <family val="2"/>
      <scheme val="minor"/>
    </font>
    <font>
      <sz val="11"/>
      <color rgb="FF9C0006"/>
      <name val="Calibri"/>
      <family val="2"/>
      <scheme val="minor"/>
    </font>
    <font>
      <b/>
      <sz val="9"/>
      <color indexed="81"/>
      <name val="Tahoma"/>
      <family val="2"/>
    </font>
    <font>
      <u/>
      <sz val="8.6999999999999993"/>
      <color indexed="12"/>
      <name val="Arial"/>
      <family val="2"/>
    </font>
    <font>
      <u/>
      <sz val="11"/>
      <color theme="10"/>
      <name val="Calibri"/>
      <family val="2"/>
    </font>
    <font>
      <sz val="11"/>
      <color theme="1"/>
      <name val="Arial"/>
      <family val="2"/>
    </font>
    <font>
      <u/>
      <sz val="11"/>
      <color theme="10"/>
      <name val="Calibri"/>
      <family val="2"/>
      <scheme val="minor"/>
    </font>
    <font>
      <sz val="11"/>
      <color rgb="FF006100"/>
      <name val="Arial"/>
      <family val="2"/>
    </font>
    <font>
      <sz val="11"/>
      <color indexed="8"/>
      <name val="Calibri"/>
      <family val="2"/>
    </font>
    <font>
      <b/>
      <sz val="16"/>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sz val="12"/>
      <color theme="1"/>
      <name val="Calibri"/>
      <family val="2"/>
      <scheme val="minor"/>
    </font>
    <font>
      <sz val="12"/>
      <name val="Arial"/>
      <family val="2"/>
    </font>
    <font>
      <b/>
      <sz val="12"/>
      <color theme="1"/>
      <name val="Calibri"/>
      <family val="2"/>
      <scheme val="minor"/>
    </font>
    <font>
      <b/>
      <u/>
      <sz val="12"/>
      <color theme="1"/>
      <name val="Calibri"/>
      <family val="2"/>
      <scheme val="minor"/>
    </font>
    <font>
      <sz val="11"/>
      <name val="Calibri"/>
      <family val="2"/>
      <scheme val="minor"/>
    </font>
    <font>
      <b/>
      <sz val="10"/>
      <color indexed="81"/>
      <name val="Arial"/>
      <family val="2"/>
    </font>
    <font>
      <b/>
      <sz val="16"/>
      <color rgb="FFFF0000"/>
      <name val="Calibri"/>
      <family val="2"/>
      <scheme val="minor"/>
    </font>
    <font>
      <b/>
      <sz val="10"/>
      <name val="Arial"/>
      <family val="2"/>
    </font>
    <font>
      <i/>
      <sz val="10"/>
      <name val="Calibri"/>
      <family val="2"/>
      <scheme val="minor"/>
    </font>
    <font>
      <i/>
      <sz val="12"/>
      <color theme="0" tint="-0.499984740745262"/>
      <name val="Calibri"/>
      <family val="2"/>
      <scheme val="minor"/>
    </font>
    <font>
      <sz val="11"/>
      <name val="Calibri"/>
      <family val="2"/>
    </font>
    <font>
      <b/>
      <sz val="11"/>
      <name val="Calibri"/>
      <family val="2"/>
    </font>
    <font>
      <u/>
      <sz val="11"/>
      <name val="Calibri"/>
      <family val="2"/>
    </font>
    <font>
      <sz val="9"/>
      <name val="Calibri"/>
      <family val="2"/>
    </font>
    <font>
      <b/>
      <i/>
      <sz val="9"/>
      <name val="Calibri"/>
      <family val="2"/>
    </font>
    <font>
      <b/>
      <sz val="9"/>
      <name val="Calibri"/>
      <family val="2"/>
    </font>
    <font>
      <i/>
      <sz val="9"/>
      <name val="Calibri"/>
      <family val="2"/>
    </font>
    <font>
      <b/>
      <u/>
      <sz val="10"/>
      <name val="Arial"/>
      <family val="2"/>
    </font>
    <font>
      <sz val="7"/>
      <name val="Times New Roman"/>
      <family val="1"/>
    </font>
    <font>
      <b/>
      <u/>
      <sz val="11"/>
      <name val="Calibri"/>
      <family val="2"/>
    </font>
    <font>
      <sz val="9"/>
      <name val="Arial"/>
      <family val="2"/>
    </font>
    <font>
      <sz val="10"/>
      <color rgb="FFFF0000"/>
      <name val="Calibri"/>
      <family val="2"/>
      <scheme val="minor"/>
    </font>
    <font>
      <sz val="10"/>
      <color rgb="FFFF0000"/>
      <name val="Arial"/>
      <family val="2"/>
    </font>
    <font>
      <b/>
      <i/>
      <sz val="10"/>
      <color theme="8" tint="-0.249977111117893"/>
      <name val="Calibri"/>
      <family val="2"/>
      <scheme val="minor"/>
    </font>
    <font>
      <b/>
      <i/>
      <sz val="11"/>
      <name val="Calibri"/>
      <family val="2"/>
      <scheme val="minor"/>
    </font>
  </fonts>
  <fills count="24">
    <fill>
      <patternFill patternType="none"/>
    </fill>
    <fill>
      <patternFill patternType="gray125"/>
    </fill>
    <fill>
      <patternFill patternType="solid">
        <fgColor theme="6"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9" tint="0.39997558519241921"/>
        <bgColor indexed="64"/>
      </patternFill>
    </fill>
    <fill>
      <patternFill patternType="solid">
        <fgColor rgb="FFC4D79B"/>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diagonal/>
    </border>
    <border>
      <left/>
      <right/>
      <top/>
      <bottom style="thin">
        <color indexed="64"/>
      </bottom>
      <diagonal/>
    </border>
    <border>
      <left style="thin">
        <color rgb="FFC00000"/>
      </left>
      <right style="thin">
        <color rgb="FFC00000"/>
      </right>
      <top style="thin">
        <color rgb="FFC00000"/>
      </top>
      <bottom style="thin">
        <color rgb="FFC00000"/>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theme="4" tint="-0.24994659260841701"/>
      </left>
      <right/>
      <top/>
      <bottom/>
      <diagonal/>
    </border>
    <border>
      <left/>
      <right style="thick">
        <color indexed="64"/>
      </right>
      <top style="thin">
        <color indexed="64"/>
      </top>
      <bottom style="thin">
        <color indexed="64"/>
      </bottom>
      <diagonal/>
    </border>
    <border>
      <left style="medium">
        <color indexed="64"/>
      </left>
      <right/>
      <top/>
      <bottom/>
      <diagonal/>
    </border>
    <border>
      <left/>
      <right/>
      <top/>
      <bottom style="double">
        <color auto="1"/>
      </bottom>
      <diagonal/>
    </border>
    <border>
      <left style="thin">
        <color auto="1"/>
      </left>
      <right style="thin">
        <color auto="1"/>
      </right>
      <top style="thin">
        <color auto="1"/>
      </top>
      <bottom style="thin">
        <color rgb="FFC0000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C00000"/>
      </left>
      <right/>
      <top/>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ck">
        <color theme="4" tint="-0.24994659260841701"/>
      </top>
      <bottom/>
      <diagonal/>
    </border>
    <border>
      <left/>
      <right/>
      <top/>
      <bottom style="thin">
        <color theme="1"/>
      </bottom>
      <diagonal/>
    </border>
    <border>
      <left style="thin">
        <color auto="1"/>
      </left>
      <right/>
      <top style="thin">
        <color auto="1"/>
      </top>
      <bottom style="thin">
        <color rgb="FFC00000"/>
      </bottom>
      <diagonal/>
    </border>
    <border>
      <left/>
      <right style="thin">
        <color theme="1"/>
      </right>
      <top/>
      <bottom/>
      <diagonal/>
    </border>
    <border>
      <left style="medium">
        <color indexed="64"/>
      </left>
      <right style="thin">
        <color indexed="64"/>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n">
        <color indexed="64"/>
      </top>
      <bottom style="medium">
        <color indexed="64"/>
      </bottom>
      <diagonal/>
    </border>
  </borders>
  <cellStyleXfs count="179">
    <xf numFmtId="0" fontId="0" fillId="0" borderId="0"/>
    <xf numFmtId="43"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4" fillId="0" borderId="0" applyNumberFormat="0" applyFill="0" applyBorder="0" applyAlignment="0" applyProtection="0">
      <alignment vertical="top"/>
      <protection locked="0"/>
    </xf>
    <xf numFmtId="9" fontId="30" fillId="0" borderId="0" applyFont="0" applyFill="0" applyBorder="0" applyAlignment="0" applyProtection="0"/>
    <xf numFmtId="0" fontId="35" fillId="0" borderId="0" applyNumberFormat="0" applyFill="0" applyBorder="0" applyAlignment="0" applyProtection="0">
      <alignment vertical="top"/>
      <protection locked="0"/>
    </xf>
    <xf numFmtId="0" fontId="8" fillId="0" borderId="0"/>
    <xf numFmtId="0" fontId="30" fillId="0" borderId="0"/>
    <xf numFmtId="43" fontId="30"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36" fillId="0" borderId="0"/>
    <xf numFmtId="43" fontId="36"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30" fillId="0" borderId="0"/>
    <xf numFmtId="0" fontId="8" fillId="13" borderId="48" applyNumberFormat="0" applyFont="0" applyAlignment="0" applyProtection="0"/>
    <xf numFmtId="0" fontId="37" fillId="0" borderId="0" applyNumberFormat="0" applyFill="0" applyBorder="0" applyAlignment="0" applyProtection="0"/>
    <xf numFmtId="0" fontId="8" fillId="0" borderId="0"/>
    <xf numFmtId="9" fontId="36" fillId="0" borderId="0" applyFont="0" applyFill="0" applyBorder="0" applyAlignment="0" applyProtection="0"/>
    <xf numFmtId="0" fontId="38" fillId="11" borderId="0" applyNumberFormat="0" applyBorder="0" applyAlignment="0" applyProtection="0"/>
    <xf numFmtId="0" fontId="32" fillId="12" borderId="0" applyNumberFormat="0" applyBorder="0" applyAlignment="0" applyProtection="0"/>
    <xf numFmtId="43" fontId="36"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0" fontId="36" fillId="0" borderId="0"/>
    <xf numFmtId="0" fontId="39" fillId="0" borderId="0" applyFill="0" applyProtection="0"/>
    <xf numFmtId="43" fontId="8"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13" borderId="48" applyNumberFormat="0" applyFont="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1" fillId="0" borderId="0"/>
    <xf numFmtId="0" fontId="28" fillId="0" borderId="0"/>
    <xf numFmtId="43" fontId="28"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1" fillId="0" borderId="0"/>
    <xf numFmtId="0" fontId="28" fillId="0" borderId="0"/>
    <xf numFmtId="43" fontId="28"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3" borderId="48" applyNumberFormat="0" applyFon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09">
    <xf numFmtId="0" fontId="0" fillId="0" borderId="0" xfId="0"/>
    <xf numFmtId="0" fontId="9" fillId="0" borderId="0" xfId="0" applyFont="1"/>
    <xf numFmtId="0" fontId="9" fillId="0" borderId="0" xfId="0" applyFont="1" applyFill="1" applyBorder="1"/>
    <xf numFmtId="0" fontId="9" fillId="0" borderId="1" xfId="0" applyFont="1" applyBorder="1"/>
    <xf numFmtId="164" fontId="9" fillId="0" borderId="1" xfId="0" applyNumberFormat="1" applyFont="1" applyBorder="1"/>
    <xf numFmtId="0" fontId="9" fillId="0" borderId="0" xfId="0" applyFont="1" applyBorder="1"/>
    <xf numFmtId="0" fontId="12" fillId="0" borderId="1" xfId="0" applyFont="1" applyFill="1" applyBorder="1"/>
    <xf numFmtId="164" fontId="9" fillId="0" borderId="1" xfId="0" applyNumberFormat="1" applyFont="1" applyFill="1" applyBorder="1"/>
    <xf numFmtId="0" fontId="12" fillId="0" borderId="0" xfId="0" applyFont="1" applyAlignment="1">
      <alignment horizontal="right"/>
    </xf>
    <xf numFmtId="164" fontId="9" fillId="0" borderId="0" xfId="0" applyNumberFormat="1" applyFont="1" applyFill="1" applyBorder="1"/>
    <xf numFmtId="0" fontId="10" fillId="0" borderId="0" xfId="0" applyFont="1" applyAlignment="1">
      <alignment horizontal="center"/>
    </xf>
    <xf numFmtId="0" fontId="10" fillId="0" borderId="0" xfId="0" applyFont="1" applyAlignment="1">
      <alignment horizontal="center"/>
    </xf>
    <xf numFmtId="0" fontId="9" fillId="0" borderId="0" xfId="0" applyFont="1" applyBorder="1" applyAlignment="1">
      <alignment horizontal="left"/>
    </xf>
    <xf numFmtId="0" fontId="9" fillId="0" borderId="0" xfId="0" applyFont="1" applyFill="1" applyBorder="1" applyAlignment="1">
      <alignment horizontal="center"/>
    </xf>
    <xf numFmtId="0" fontId="10" fillId="0" borderId="0" xfId="0" applyFont="1"/>
    <xf numFmtId="0" fontId="10" fillId="0" borderId="7" xfId="0" applyFont="1" applyBorder="1"/>
    <xf numFmtId="3" fontId="10" fillId="0" borderId="8" xfId="0" applyNumberFormat="1" applyFont="1" applyBorder="1"/>
    <xf numFmtId="3" fontId="10" fillId="0" borderId="9" xfId="0" applyNumberFormat="1" applyFont="1" applyBorder="1"/>
    <xf numFmtId="0" fontId="10" fillId="0" borderId="5" xfId="0" applyFont="1" applyBorder="1" applyAlignment="1">
      <alignment horizontal="center"/>
    </xf>
    <xf numFmtId="0" fontId="10" fillId="0" borderId="6" xfId="0" applyFont="1" applyBorder="1" applyAlignment="1">
      <alignment horizontal="center"/>
    </xf>
    <xf numFmtId="9" fontId="9" fillId="0" borderId="1" xfId="0" applyNumberFormat="1" applyFont="1" applyBorder="1"/>
    <xf numFmtId="0" fontId="12" fillId="0" borderId="0" xfId="0" applyFont="1" applyBorder="1"/>
    <xf numFmtId="164" fontId="18" fillId="0" borderId="13" xfId="0" applyNumberFormat="1" applyFont="1" applyBorder="1"/>
    <xf numFmtId="3" fontId="18" fillId="0" borderId="13" xfId="0" applyNumberFormat="1" applyFont="1" applyBorder="1"/>
    <xf numFmtId="0" fontId="18" fillId="0" borderId="0" xfId="0" applyFont="1" applyFill="1" applyBorder="1" applyAlignment="1">
      <alignment horizontal="center"/>
    </xf>
    <xf numFmtId="0" fontId="19" fillId="0" borderId="0" xfId="0" applyFont="1"/>
    <xf numFmtId="1" fontId="9" fillId="0" borderId="0" xfId="0" applyNumberFormat="1" applyFont="1" applyFill="1" applyBorder="1"/>
    <xf numFmtId="0" fontId="16" fillId="0" borderId="0" xfId="0" applyFont="1" applyFill="1" applyBorder="1"/>
    <xf numFmtId="0" fontId="9" fillId="0" borderId="0" xfId="0" applyFont="1" applyFill="1" applyBorder="1" applyAlignment="1">
      <alignment horizontal="right"/>
    </xf>
    <xf numFmtId="3" fontId="9" fillId="0" borderId="0" xfId="0" applyNumberFormat="1" applyFont="1" applyFill="1" applyBorder="1"/>
    <xf numFmtId="0" fontId="15" fillId="0" borderId="2" xfId="0" applyFont="1" applyBorder="1"/>
    <xf numFmtId="0" fontId="9" fillId="0" borderId="3" xfId="0" applyFont="1" applyBorder="1"/>
    <xf numFmtId="164" fontId="9" fillId="0" borderId="0" xfId="0" applyNumberFormat="1" applyFont="1"/>
    <xf numFmtId="0" fontId="12" fillId="0" borderId="15" xfId="0" applyFont="1" applyBorder="1" applyAlignment="1">
      <alignment horizontal="center"/>
    </xf>
    <xf numFmtId="165" fontId="9" fillId="0" borderId="1" xfId="0" applyNumberFormat="1" applyFont="1" applyFill="1" applyBorder="1"/>
    <xf numFmtId="0" fontId="9" fillId="3" borderId="1" xfId="0" applyFont="1" applyFill="1" applyBorder="1"/>
    <xf numFmtId="0" fontId="9" fillId="0" borderId="0" xfId="0" quotePrefix="1" applyFont="1"/>
    <xf numFmtId="0" fontId="9" fillId="0" borderId="0" xfId="0" applyFont="1" applyAlignment="1">
      <alignment wrapText="1"/>
    </xf>
    <xf numFmtId="0" fontId="12" fillId="0" borderId="1" xfId="0" applyFont="1" applyFill="1" applyBorder="1" applyAlignment="1">
      <alignment horizontal="right"/>
    </xf>
    <xf numFmtId="0" fontId="10" fillId="0" borderId="0" xfId="0" applyFont="1" applyAlignment="1">
      <alignment horizontal="center"/>
    </xf>
    <xf numFmtId="0" fontId="13" fillId="0" borderId="0" xfId="0" applyFont="1" applyAlignment="1">
      <alignment horizontal="center"/>
    </xf>
    <xf numFmtId="3" fontId="9" fillId="0" borderId="0" xfId="0" applyNumberFormat="1" applyFont="1" applyFill="1" applyBorder="1" applyAlignment="1">
      <alignment wrapText="1"/>
    </xf>
    <xf numFmtId="0" fontId="9" fillId="0" borderId="0" xfId="0" applyFont="1" applyAlignment="1">
      <alignment wrapText="1"/>
    </xf>
    <xf numFmtId="3" fontId="9" fillId="0" borderId="0" xfId="0" applyNumberFormat="1" applyFont="1" applyFill="1" applyBorder="1" applyAlignment="1">
      <alignment wrapText="1"/>
    </xf>
    <xf numFmtId="0" fontId="12" fillId="0" borderId="1" xfId="0" applyFont="1" applyBorder="1" applyAlignment="1">
      <alignment horizontal="center"/>
    </xf>
    <xf numFmtId="0" fontId="9" fillId="0" borderId="0" xfId="0" applyFont="1" applyAlignment="1">
      <alignment wrapText="1"/>
    </xf>
    <xf numFmtId="3" fontId="9" fillId="0" borderId="0" xfId="0" applyNumberFormat="1" applyFont="1" applyFill="1" applyBorder="1" applyAlignment="1">
      <alignment wrapText="1"/>
    </xf>
    <xf numFmtId="10" fontId="9" fillId="0" borderId="0" xfId="0" applyNumberFormat="1" applyFont="1" applyFill="1" applyBorder="1"/>
    <xf numFmtId="0" fontId="24" fillId="0" borderId="0" xfId="0" applyFont="1"/>
    <xf numFmtId="0" fontId="9" fillId="0" borderId="0" xfId="0" applyFont="1" applyFill="1" applyBorder="1" applyAlignment="1">
      <alignment horizontal="left"/>
    </xf>
    <xf numFmtId="0" fontId="18" fillId="0" borderId="1" xfId="0" applyFont="1" applyFill="1" applyBorder="1" applyAlignment="1">
      <alignment horizontal="center"/>
    </xf>
    <xf numFmtId="0" fontId="12" fillId="0" borderId="27" xfId="0" applyFont="1" applyBorder="1" applyAlignment="1">
      <alignment horizontal="center"/>
    </xf>
    <xf numFmtId="164" fontId="9" fillId="4" borderId="1" xfId="0" applyNumberFormat="1" applyFont="1" applyFill="1" applyBorder="1"/>
    <xf numFmtId="164" fontId="9" fillId="5" borderId="1" xfId="0" applyNumberFormat="1" applyFont="1" applyFill="1" applyBorder="1"/>
    <xf numFmtId="0" fontId="18" fillId="5" borderId="1" xfId="0" applyFont="1" applyFill="1" applyBorder="1" applyAlignment="1">
      <alignment horizontal="center"/>
    </xf>
    <xf numFmtId="0" fontId="18" fillId="5" borderId="13" xfId="0" applyFont="1" applyFill="1" applyBorder="1" applyAlignment="1">
      <alignment horizontal="center"/>
    </xf>
    <xf numFmtId="0" fontId="18" fillId="5" borderId="1" xfId="0" applyFont="1" applyFill="1" applyBorder="1"/>
    <xf numFmtId="164" fontId="9" fillId="2" borderId="1" xfId="0" applyNumberFormat="1" applyFont="1" applyFill="1" applyBorder="1"/>
    <xf numFmtId="0" fontId="13" fillId="3" borderId="1" xfId="0" applyFont="1" applyFill="1" applyBorder="1"/>
    <xf numFmtId="0" fontId="18" fillId="3" borderId="1" xfId="0" applyFont="1" applyFill="1" applyBorder="1" applyAlignment="1">
      <alignment horizontal="center"/>
    </xf>
    <xf numFmtId="9" fontId="9" fillId="2" borderId="1" xfId="0" applyNumberFormat="1" applyFont="1" applyFill="1" applyBorder="1"/>
    <xf numFmtId="10" fontId="9" fillId="2" borderId="1" xfId="0" applyNumberFormat="1" applyFont="1" applyFill="1" applyBorder="1"/>
    <xf numFmtId="0" fontId="9" fillId="4" borderId="1" xfId="0" applyFont="1" applyFill="1" applyBorder="1"/>
    <xf numFmtId="0" fontId="9" fillId="6" borderId="1" xfId="0" applyFont="1" applyFill="1" applyBorder="1"/>
    <xf numFmtId="0" fontId="11" fillId="3" borderId="1" xfId="0" applyFont="1" applyFill="1" applyBorder="1"/>
    <xf numFmtId="0" fontId="18" fillId="3" borderId="13" xfId="0" applyFont="1" applyFill="1" applyBorder="1" applyAlignment="1">
      <alignment horizontal="center"/>
    </xf>
    <xf numFmtId="0" fontId="10" fillId="3" borderId="7" xfId="0" applyFont="1" applyFill="1" applyBorder="1"/>
    <xf numFmtId="0" fontId="10" fillId="3" borderId="8" xfId="0" applyFont="1" applyFill="1" applyBorder="1"/>
    <xf numFmtId="0" fontId="10" fillId="3" borderId="9" xfId="0" applyFont="1" applyFill="1" applyBorder="1"/>
    <xf numFmtId="0" fontId="10" fillId="3" borderId="4" xfId="0" applyFont="1" applyFill="1" applyBorder="1"/>
    <xf numFmtId="0" fontId="9" fillId="0" borderId="0" xfId="0" applyFont="1" applyAlignment="1">
      <alignment wrapText="1"/>
    </xf>
    <xf numFmtId="164" fontId="9" fillId="7" borderId="28" xfId="0" applyNumberFormat="1" applyFont="1" applyFill="1" applyBorder="1"/>
    <xf numFmtId="164" fontId="9" fillId="7" borderId="34" xfId="0" applyNumberFormat="1" applyFont="1" applyFill="1" applyBorder="1"/>
    <xf numFmtId="164" fontId="9" fillId="3" borderId="1" xfId="0" applyNumberFormat="1" applyFont="1" applyFill="1" applyBorder="1"/>
    <xf numFmtId="0" fontId="10" fillId="0" borderId="0" xfId="0" applyFont="1" applyAlignment="1">
      <alignment horizontal="center"/>
    </xf>
    <xf numFmtId="0" fontId="23" fillId="0" borderId="0" xfId="0" applyFont="1" applyAlignment="1">
      <alignment wrapText="1"/>
    </xf>
    <xf numFmtId="3" fontId="9" fillId="0" borderId="0" xfId="0" applyNumberFormat="1" applyFont="1" applyFill="1" applyBorder="1" applyAlignment="1">
      <alignment wrapText="1"/>
    </xf>
    <xf numFmtId="0" fontId="12" fillId="0" borderId="0" xfId="0" applyFont="1" applyFill="1" applyBorder="1" applyAlignment="1">
      <alignment horizontal="center"/>
    </xf>
    <xf numFmtId="0" fontId="13" fillId="0" borderId="0" xfId="0" applyFont="1" applyBorder="1" applyAlignment="1">
      <alignment horizontal="center"/>
    </xf>
    <xf numFmtId="0" fontId="13" fillId="0" borderId="0" xfId="0" applyFont="1" applyBorder="1"/>
    <xf numFmtId="0" fontId="9" fillId="0" borderId="17" xfId="0" applyFont="1" applyBorder="1"/>
    <xf numFmtId="0" fontId="26" fillId="0" borderId="0" xfId="0" applyFont="1" applyBorder="1"/>
    <xf numFmtId="0" fontId="9" fillId="0" borderId="13" xfId="0" applyFont="1" applyBorder="1" applyAlignment="1">
      <alignment horizontal="center"/>
    </xf>
    <xf numFmtId="3" fontId="9" fillId="4" borderId="30" xfId="0" applyNumberFormat="1" applyFont="1" applyFill="1" applyBorder="1"/>
    <xf numFmtId="3" fontId="9" fillId="0" borderId="19" xfId="0" applyNumberFormat="1" applyFont="1" applyFill="1" applyBorder="1"/>
    <xf numFmtId="3" fontId="9" fillId="2" borderId="30" xfId="0" applyNumberFormat="1" applyFont="1" applyFill="1" applyBorder="1"/>
    <xf numFmtId="3" fontId="9" fillId="2" borderId="29" xfId="0" applyNumberFormat="1" applyFont="1" applyFill="1" applyBorder="1"/>
    <xf numFmtId="0" fontId="9" fillId="0" borderId="26" xfId="0" applyFont="1" applyFill="1" applyBorder="1" applyAlignment="1">
      <alignment horizontal="left"/>
    </xf>
    <xf numFmtId="10" fontId="9" fillId="0" borderId="0" xfId="0" applyNumberFormat="1" applyFont="1" applyFill="1" applyBorder="1" applyAlignment="1">
      <alignment horizontal="right"/>
    </xf>
    <xf numFmtId="0" fontId="9" fillId="0" borderId="13" xfId="0" applyFont="1" applyFill="1" applyBorder="1" applyAlignment="1">
      <alignment horizontal="left"/>
    </xf>
    <xf numFmtId="0" fontId="9" fillId="0" borderId="1" xfId="0" applyFont="1" applyFill="1" applyBorder="1" applyAlignment="1">
      <alignment horizontal="left"/>
    </xf>
    <xf numFmtId="3" fontId="9" fillId="2" borderId="31" xfId="0" applyNumberFormat="1" applyFont="1" applyFill="1" applyBorder="1"/>
    <xf numFmtId="0" fontId="9" fillId="0" borderId="0" xfId="0" applyFont="1" applyAlignment="1">
      <alignment wrapText="1"/>
    </xf>
    <xf numFmtId="0" fontId="9" fillId="0" borderId="1" xfId="0" applyFont="1" applyBorder="1" applyAlignment="1">
      <alignment horizontal="center"/>
    </xf>
    <xf numFmtId="0" fontId="12" fillId="0" borderId="14" xfId="0" applyFont="1" applyBorder="1" applyAlignment="1">
      <alignment horizontal="center"/>
    </xf>
    <xf numFmtId="3" fontId="9" fillId="0" borderId="1" xfId="0" applyNumberFormat="1" applyFont="1" applyFill="1" applyBorder="1"/>
    <xf numFmtId="0" fontId="10" fillId="0" borderId="0" xfId="0" applyFont="1" applyAlignment="1">
      <alignment horizontal="center"/>
    </xf>
    <xf numFmtId="0" fontId="13" fillId="0" borderId="0" xfId="0" applyFont="1" applyAlignment="1">
      <alignment horizontal="center"/>
    </xf>
    <xf numFmtId="0" fontId="0" fillId="0" borderId="0" xfId="0" applyAlignment="1">
      <alignment wrapText="1"/>
    </xf>
    <xf numFmtId="0" fontId="12" fillId="0" borderId="32" xfId="0" applyFont="1" applyBorder="1" applyAlignment="1">
      <alignment horizontal="center"/>
    </xf>
    <xf numFmtId="0" fontId="9" fillId="0" borderId="26" xfId="0" applyFont="1" applyBorder="1" applyAlignment="1">
      <alignment horizontal="center"/>
    </xf>
    <xf numFmtId="3" fontId="9" fillId="4" borderId="29" xfId="0" applyNumberFormat="1" applyFont="1" applyFill="1" applyBorder="1"/>
    <xf numFmtId="3" fontId="9" fillId="4" borderId="31" xfId="0" applyNumberFormat="1" applyFont="1" applyFill="1" applyBorder="1" applyAlignment="1">
      <alignment horizontal="right" indent="1"/>
    </xf>
    <xf numFmtId="0" fontId="24" fillId="0" borderId="0" xfId="0" applyFont="1" applyAlignment="1">
      <alignment horizontal="right"/>
    </xf>
    <xf numFmtId="0" fontId="20" fillId="0" borderId="40" xfId="0" applyFont="1" applyBorder="1" applyAlignment="1">
      <alignment horizontal="center"/>
    </xf>
    <xf numFmtId="3" fontId="18" fillId="0" borderId="0" xfId="0" applyNumberFormat="1" applyFont="1" applyFill="1" applyBorder="1"/>
    <xf numFmtId="0" fontId="9" fillId="0" borderId="21" xfId="0" applyFont="1" applyBorder="1"/>
    <xf numFmtId="3" fontId="9" fillId="0" borderId="21" xfId="0" applyNumberFormat="1" applyFont="1" applyFill="1" applyBorder="1"/>
    <xf numFmtId="3" fontId="18" fillId="0" borderId="21" xfId="0" applyNumberFormat="1" applyFont="1" applyBorder="1"/>
    <xf numFmtId="0" fontId="9" fillId="0" borderId="0" xfId="0" applyFont="1" applyBorder="1" applyAlignment="1">
      <alignment wrapText="1"/>
    </xf>
    <xf numFmtId="9" fontId="9" fillId="0" borderId="0" xfId="0" applyNumberFormat="1" applyFont="1" applyFill="1" applyBorder="1"/>
    <xf numFmtId="164" fontId="9" fillId="0" borderId="1" xfId="0" applyNumberFormat="1" applyFont="1" applyFill="1" applyBorder="1" applyAlignment="1">
      <alignment wrapText="1"/>
    </xf>
    <xf numFmtId="0" fontId="24" fillId="0" borderId="0" xfId="0" applyFont="1" applyAlignment="1">
      <alignment wrapText="1"/>
    </xf>
    <xf numFmtId="167" fontId="9" fillId="0" borderId="1" xfId="0" applyNumberFormat="1" applyFont="1" applyFill="1" applyBorder="1"/>
    <xf numFmtId="9" fontId="9" fillId="2" borderId="1" xfId="2" applyFont="1" applyFill="1" applyBorder="1"/>
    <xf numFmtId="43" fontId="9" fillId="2" borderId="1" xfId="1" applyFont="1" applyFill="1" applyBorder="1"/>
    <xf numFmtId="164" fontId="18" fillId="0" borderId="13" xfId="0" applyNumberFormat="1" applyFont="1" applyFill="1" applyBorder="1"/>
    <xf numFmtId="0" fontId="18" fillId="9" borderId="1" xfId="0" applyFont="1" applyFill="1" applyBorder="1" applyAlignment="1">
      <alignment horizontal="center"/>
    </xf>
    <xf numFmtId="167" fontId="9" fillId="0" borderId="0" xfId="2" applyNumberFormat="1" applyFont="1"/>
    <xf numFmtId="0" fontId="9" fillId="0" borderId="0" xfId="0" applyFont="1" applyAlignment="1">
      <alignment horizontal="center"/>
    </xf>
    <xf numFmtId="164" fontId="9" fillId="6" borderId="34" xfId="0" applyNumberFormat="1" applyFont="1" applyFill="1" applyBorder="1"/>
    <xf numFmtId="164" fontId="9" fillId="6" borderId="35" xfId="0" applyNumberFormat="1" applyFont="1" applyFill="1" applyBorder="1"/>
    <xf numFmtId="164" fontId="9" fillId="6" borderId="36" xfId="0" applyNumberFormat="1" applyFont="1" applyFill="1" applyBorder="1"/>
    <xf numFmtId="164" fontId="9" fillId="6" borderId="28" xfId="0" applyNumberFormat="1" applyFont="1" applyFill="1" applyBorder="1"/>
    <xf numFmtId="164" fontId="9" fillId="9" borderId="1" xfId="0" applyNumberFormat="1" applyFont="1" applyFill="1" applyBorder="1"/>
    <xf numFmtId="164" fontId="9" fillId="5" borderId="42" xfId="0" applyNumberFormat="1" applyFont="1" applyFill="1" applyBorder="1"/>
    <xf numFmtId="164" fontId="9" fillId="5" borderId="43" xfId="0" applyNumberFormat="1" applyFont="1" applyFill="1" applyBorder="1"/>
    <xf numFmtId="164" fontId="9" fillId="3" borderId="42" xfId="0" applyNumberFormat="1" applyFont="1" applyFill="1" applyBorder="1"/>
    <xf numFmtId="164" fontId="9" fillId="3" borderId="43" xfId="0" applyNumberFormat="1" applyFont="1" applyFill="1" applyBorder="1"/>
    <xf numFmtId="164" fontId="9" fillId="3" borderId="44" xfId="0" applyNumberFormat="1" applyFont="1" applyFill="1" applyBorder="1"/>
    <xf numFmtId="164" fontId="9" fillId="3" borderId="45" xfId="0" applyNumberFormat="1" applyFont="1" applyFill="1" applyBorder="1"/>
    <xf numFmtId="164" fontId="9" fillId="3" borderId="46" xfId="0" applyNumberFormat="1" applyFont="1" applyFill="1" applyBorder="1"/>
    <xf numFmtId="0" fontId="12" fillId="0" borderId="47" xfId="0" applyFont="1" applyBorder="1" applyAlignment="1">
      <alignment horizontal="center"/>
    </xf>
    <xf numFmtId="0" fontId="30" fillId="0" borderId="0" xfId="0" applyFont="1"/>
    <xf numFmtId="0" fontId="0" fillId="10" borderId="8" xfId="0" applyFill="1" applyBorder="1" applyAlignment="1">
      <alignment horizontal="center"/>
    </xf>
    <xf numFmtId="0" fontId="9" fillId="0" borderId="0" xfId="0" applyFont="1" applyFill="1"/>
    <xf numFmtId="0" fontId="24" fillId="0" borderId="0" xfId="0" applyFont="1" applyAlignment="1"/>
    <xf numFmtId="164" fontId="9" fillId="5" borderId="49" xfId="0" applyNumberFormat="1" applyFont="1" applyFill="1" applyBorder="1"/>
    <xf numFmtId="168" fontId="9" fillId="0" borderId="1" xfId="1" applyNumberFormat="1" applyFont="1" applyFill="1" applyBorder="1"/>
    <xf numFmtId="44" fontId="10" fillId="0" borderId="8" xfId="3" applyFont="1" applyFill="1" applyBorder="1"/>
    <xf numFmtId="44" fontId="10" fillId="0" borderId="9" xfId="3" applyFont="1" applyBorder="1"/>
    <xf numFmtId="44" fontId="10" fillId="0" borderId="8" xfId="3" applyFont="1" applyBorder="1"/>
    <xf numFmtId="10" fontId="9" fillId="2" borderId="1" xfId="2" applyNumberFormat="1" applyFont="1" applyFill="1" applyBorder="1"/>
    <xf numFmtId="164" fontId="9" fillId="0" borderId="1" xfId="0" applyNumberFormat="1" applyFont="1" applyBorder="1" applyAlignment="1">
      <alignment horizontal="center"/>
    </xf>
    <xf numFmtId="164" fontId="12" fillId="9" borderId="1" xfId="0" applyNumberFormat="1" applyFont="1" applyFill="1" applyBorder="1"/>
    <xf numFmtId="0" fontId="18" fillId="9" borderId="14" xfId="0" applyFont="1" applyFill="1" applyBorder="1"/>
    <xf numFmtId="164" fontId="18" fillId="9" borderId="14" xfId="0" applyNumberFormat="1" applyFont="1" applyFill="1" applyBorder="1"/>
    <xf numFmtId="0" fontId="10" fillId="9" borderId="10" xfId="0" applyFont="1" applyFill="1" applyBorder="1"/>
    <xf numFmtId="44" fontId="10" fillId="9" borderId="11" xfId="3" applyFont="1" applyFill="1" applyBorder="1"/>
    <xf numFmtId="44" fontId="13" fillId="9" borderId="12" xfId="3" applyFont="1" applyFill="1" applyBorder="1"/>
    <xf numFmtId="0" fontId="9" fillId="14" borderId="0" xfId="0" applyFont="1" applyFill="1"/>
    <xf numFmtId="0" fontId="9" fillId="15" borderId="0" xfId="0" applyFont="1" applyFill="1" applyBorder="1"/>
    <xf numFmtId="0" fontId="9" fillId="15" borderId="0" xfId="0" applyFont="1" applyFill="1"/>
    <xf numFmtId="0" fontId="12" fillId="15" borderId="0" xfId="0" applyFont="1" applyFill="1" applyBorder="1"/>
    <xf numFmtId="0" fontId="9" fillId="0" borderId="0" xfId="0" applyFont="1"/>
    <xf numFmtId="0" fontId="9" fillId="0" borderId="0" xfId="0" applyFont="1" applyFill="1" applyBorder="1"/>
    <xf numFmtId="164" fontId="9" fillId="0" borderId="1" xfId="0" applyNumberFormat="1" applyFont="1" applyBorder="1"/>
    <xf numFmtId="0" fontId="9" fillId="0" borderId="0" xfId="0" applyFont="1" applyBorder="1"/>
    <xf numFmtId="0" fontId="12" fillId="0" borderId="1" xfId="0" applyFont="1" applyFill="1" applyBorder="1"/>
    <xf numFmtId="164" fontId="9" fillId="0" borderId="1" xfId="0" applyNumberFormat="1" applyFont="1" applyFill="1" applyBorder="1"/>
    <xf numFmtId="0" fontId="9" fillId="0" borderId="0" xfId="0" applyFont="1" applyFill="1" applyBorder="1" applyAlignment="1">
      <alignment horizontal="center"/>
    </xf>
    <xf numFmtId="0" fontId="12" fillId="0" borderId="0" xfId="0" applyFont="1" applyFill="1" applyBorder="1"/>
    <xf numFmtId="164" fontId="18" fillId="0" borderId="13" xfId="0" applyNumberFormat="1" applyFont="1" applyBorder="1"/>
    <xf numFmtId="0" fontId="19" fillId="0" borderId="0" xfId="0" applyFont="1"/>
    <xf numFmtId="0" fontId="9" fillId="3" borderId="1" xfId="0" applyFont="1" applyFill="1" applyBorder="1"/>
    <xf numFmtId="0" fontId="9" fillId="0" borderId="0" xfId="0" applyFont="1" applyAlignment="1">
      <alignment wrapText="1"/>
    </xf>
    <xf numFmtId="0" fontId="12" fillId="0" borderId="1" xfId="0" applyFont="1" applyFill="1" applyBorder="1" applyAlignment="1">
      <alignment horizontal="right"/>
    </xf>
    <xf numFmtId="0" fontId="9" fillId="0" borderId="0" xfId="0" applyFont="1" applyBorder="1" applyAlignment="1">
      <alignment wrapText="1"/>
    </xf>
    <xf numFmtId="0" fontId="18" fillId="3" borderId="1" xfId="0" applyFont="1" applyFill="1" applyBorder="1" applyAlignment="1">
      <alignment horizontal="center"/>
    </xf>
    <xf numFmtId="164" fontId="18" fillId="0" borderId="13" xfId="0" applyNumberFormat="1" applyFont="1" applyFill="1" applyBorder="1"/>
    <xf numFmtId="164" fontId="9" fillId="9" borderId="1" xfId="0" applyNumberFormat="1" applyFont="1" applyFill="1" applyBorder="1"/>
    <xf numFmtId="0" fontId="9" fillId="3" borderId="0" xfId="0" applyFont="1" applyFill="1"/>
    <xf numFmtId="1" fontId="9" fillId="3" borderId="0" xfId="0" applyNumberFormat="1" applyFont="1" applyFill="1" applyBorder="1"/>
    <xf numFmtId="0" fontId="9" fillId="3" borderId="0" xfId="0" applyFont="1" applyFill="1" applyBorder="1"/>
    <xf numFmtId="0" fontId="15" fillId="0" borderId="0" xfId="0" applyFont="1" applyBorder="1"/>
    <xf numFmtId="0" fontId="18" fillId="9" borderId="54" xfId="0" applyFont="1" applyFill="1" applyBorder="1"/>
    <xf numFmtId="164" fontId="18" fillId="9" borderId="54" xfId="0" applyNumberFormat="1" applyFont="1" applyFill="1" applyBorder="1"/>
    <xf numFmtId="164" fontId="18" fillId="9" borderId="55" xfId="0" applyNumberFormat="1" applyFont="1" applyFill="1" applyBorder="1"/>
    <xf numFmtId="164" fontId="9" fillId="9" borderId="0" xfId="0" applyNumberFormat="1" applyFont="1" applyFill="1" applyBorder="1" applyProtection="1">
      <protection locked="0"/>
    </xf>
    <xf numFmtId="164" fontId="9" fillId="0" borderId="0" xfId="0" applyNumberFormat="1" applyFont="1" applyFill="1" applyBorder="1" applyProtection="1">
      <protection locked="0"/>
    </xf>
    <xf numFmtId="0" fontId="12" fillId="9" borderId="1" xfId="0" applyFont="1" applyFill="1" applyBorder="1"/>
    <xf numFmtId="3" fontId="18" fillId="0" borderId="0" xfId="0" applyNumberFormat="1" applyFont="1" applyBorder="1"/>
    <xf numFmtId="0" fontId="9" fillId="0" borderId="0" xfId="0" applyFont="1" applyBorder="1" applyAlignment="1">
      <alignment wrapText="1"/>
    </xf>
    <xf numFmtId="0" fontId="6" fillId="0" borderId="0" xfId="55"/>
    <xf numFmtId="0" fontId="6" fillId="0" borderId="0" xfId="55" applyAlignment="1">
      <alignment horizontal="center"/>
    </xf>
    <xf numFmtId="0" fontId="6" fillId="0" borderId="0" xfId="55" applyAlignment="1">
      <alignment horizontal="left"/>
    </xf>
    <xf numFmtId="0" fontId="6" fillId="0" borderId="0" xfId="55" applyAlignment="1">
      <alignment horizontal="center" wrapText="1"/>
    </xf>
    <xf numFmtId="0" fontId="6" fillId="16" borderId="1" xfId="55" applyFill="1" applyBorder="1"/>
    <xf numFmtId="0" fontId="6" fillId="16" borderId="1" xfId="55" applyFill="1" applyBorder="1" applyAlignment="1">
      <alignment horizontal="center"/>
    </xf>
    <xf numFmtId="166" fontId="6" fillId="16" borderId="1" xfId="55" applyNumberFormat="1" applyFill="1" applyBorder="1"/>
    <xf numFmtId="43" fontId="0" fillId="0" borderId="0" xfId="57" applyFont="1"/>
    <xf numFmtId="0" fontId="41" fillId="10" borderId="0" xfId="55" applyFont="1" applyFill="1"/>
    <xf numFmtId="0" fontId="41" fillId="10" borderId="1" xfId="57" applyNumberFormat="1" applyFont="1" applyFill="1" applyBorder="1" applyAlignment="1">
      <alignment horizontal="center"/>
    </xf>
    <xf numFmtId="0" fontId="41" fillId="10" borderId="1" xfId="55" applyNumberFormat="1" applyFont="1" applyFill="1" applyBorder="1" applyAlignment="1">
      <alignment horizontal="center"/>
    </xf>
    <xf numFmtId="0" fontId="6" fillId="0" borderId="1" xfId="55" applyNumberFormat="1" applyBorder="1" applyAlignment="1">
      <alignment horizontal="center"/>
    </xf>
    <xf numFmtId="0" fontId="41" fillId="17" borderId="1" xfId="55" applyFont="1" applyFill="1" applyBorder="1" applyAlignment="1">
      <alignment horizontal="right"/>
    </xf>
    <xf numFmtId="37" fontId="41" fillId="17" borderId="1" xfId="57" applyNumberFormat="1" applyFont="1" applyFill="1" applyBorder="1"/>
    <xf numFmtId="37" fontId="0" fillId="0" borderId="1" xfId="57" applyNumberFormat="1" applyFont="1" applyBorder="1"/>
    <xf numFmtId="37" fontId="0" fillId="18" borderId="1" xfId="57" applyNumberFormat="1" applyFont="1" applyFill="1" applyBorder="1"/>
    <xf numFmtId="0" fontId="6" fillId="0" borderId="0" xfId="55" applyBorder="1"/>
    <xf numFmtId="37" fontId="41" fillId="0" borderId="1" xfId="57" applyNumberFormat="1" applyFont="1" applyBorder="1"/>
    <xf numFmtId="39" fontId="0" fillId="0" borderId="1" xfId="57" applyNumberFormat="1" applyFont="1" applyFill="1" applyBorder="1"/>
    <xf numFmtId="37" fontId="42" fillId="0" borderId="1" xfId="57" applyNumberFormat="1" applyFont="1" applyBorder="1" applyAlignment="1">
      <alignment horizontal="center"/>
    </xf>
    <xf numFmtId="0" fontId="6" fillId="10" borderId="0" xfId="55" applyFill="1" applyAlignment="1">
      <alignment horizontal="center"/>
    </xf>
    <xf numFmtId="0" fontId="6" fillId="10" borderId="0" xfId="55" applyFill="1"/>
    <xf numFmtId="43" fontId="0" fillId="0" borderId="21" xfId="57" applyFont="1" applyBorder="1"/>
    <xf numFmtId="168" fontId="0" fillId="0" borderId="0" xfId="57" applyNumberFormat="1" applyFont="1" applyAlignment="1">
      <alignment horizontal="center"/>
    </xf>
    <xf numFmtId="0" fontId="6" fillId="19" borderId="0" xfId="55" applyFill="1"/>
    <xf numFmtId="43" fontId="6" fillId="0" borderId="0" xfId="55" applyNumberFormat="1"/>
    <xf numFmtId="43" fontId="6" fillId="0" borderId="21" xfId="55" applyNumberFormat="1" applyBorder="1"/>
    <xf numFmtId="43" fontId="0" fillId="0" borderId="0" xfId="57" applyFont="1" applyBorder="1"/>
    <xf numFmtId="43" fontId="6" fillId="0" borderId="0" xfId="55" applyNumberFormat="1" applyBorder="1"/>
    <xf numFmtId="168" fontId="6" fillId="0" borderId="0" xfId="55" applyNumberFormat="1"/>
    <xf numFmtId="168" fontId="0" fillId="0" borderId="0" xfId="57" applyNumberFormat="1" applyFont="1"/>
    <xf numFmtId="169" fontId="6" fillId="0" borderId="0" xfId="55" applyNumberFormat="1"/>
    <xf numFmtId="166" fontId="6" fillId="0" borderId="0" xfId="55" applyNumberFormat="1"/>
    <xf numFmtId="170" fontId="0" fillId="20" borderId="1" xfId="57" applyNumberFormat="1" applyFont="1" applyFill="1" applyBorder="1"/>
    <xf numFmtId="9" fontId="0" fillId="20" borderId="1" xfId="56" applyFont="1" applyFill="1" applyBorder="1"/>
    <xf numFmtId="166" fontId="6" fillId="0" borderId="21" xfId="55" applyNumberFormat="1" applyBorder="1"/>
    <xf numFmtId="171" fontId="0" fillId="0" borderId="0" xfId="58" applyNumberFormat="1" applyFont="1"/>
    <xf numFmtId="166" fontId="6" fillId="0" borderId="0" xfId="55" applyNumberFormat="1" applyAlignment="1">
      <alignment horizontal="center"/>
    </xf>
    <xf numFmtId="171" fontId="6" fillId="0" borderId="21" xfId="55" applyNumberFormat="1" applyBorder="1"/>
    <xf numFmtId="0" fontId="44" fillId="0" borderId="0" xfId="55" applyFont="1"/>
    <xf numFmtId="0" fontId="46" fillId="0" borderId="0" xfId="55" applyFont="1"/>
    <xf numFmtId="0" fontId="46" fillId="10" borderId="0" xfId="55" applyFont="1" applyFill="1" applyAlignment="1">
      <alignment horizontal="right"/>
    </xf>
    <xf numFmtId="0" fontId="47" fillId="0" borderId="0" xfId="55" applyFont="1"/>
    <xf numFmtId="0" fontId="46" fillId="0" borderId="0" xfId="55" applyFont="1" applyBorder="1" applyAlignment="1">
      <alignment horizontal="right"/>
    </xf>
    <xf numFmtId="0" fontId="6" fillId="21" borderId="0" xfId="55" applyFill="1"/>
    <xf numFmtId="0" fontId="44" fillId="0" borderId="0" xfId="55" applyFont="1" applyBorder="1"/>
    <xf numFmtId="171" fontId="6" fillId="0" borderId="0" xfId="3" applyNumberFormat="1" applyFont="1"/>
    <xf numFmtId="171" fontId="6" fillId="0" borderId="61" xfId="3" applyNumberFormat="1" applyFont="1" applyBorder="1"/>
    <xf numFmtId="171" fontId="6" fillId="0" borderId="0" xfId="55" applyNumberFormat="1"/>
    <xf numFmtId="0" fontId="41" fillId="0" borderId="56" xfId="55" applyFont="1" applyBorder="1" applyAlignment="1">
      <alignment horizontal="center"/>
    </xf>
    <xf numFmtId="0" fontId="18" fillId="0" borderId="41" xfId="0" applyFont="1" applyBorder="1" applyAlignment="1">
      <alignment horizontal="center"/>
    </xf>
    <xf numFmtId="0" fontId="41" fillId="10" borderId="54" xfId="57" applyNumberFormat="1" applyFont="1" applyFill="1" applyBorder="1" applyAlignment="1">
      <alignment horizontal="center"/>
    </xf>
    <xf numFmtId="0" fontId="41" fillId="0" borderId="57" xfId="55" applyFont="1" applyBorder="1" applyAlignment="1">
      <alignment horizontal="center"/>
    </xf>
    <xf numFmtId="0" fontId="41" fillId="0" borderId="58" xfId="55" applyFont="1" applyBorder="1" applyAlignment="1">
      <alignment horizontal="center"/>
    </xf>
    <xf numFmtId="0" fontId="41" fillId="0" borderId="59" xfId="55" applyFont="1" applyBorder="1" applyAlignment="1">
      <alignment horizontal="center"/>
    </xf>
    <xf numFmtId="0" fontId="18" fillId="0" borderId="54" xfId="0" applyFont="1" applyFill="1" applyBorder="1" applyAlignment="1">
      <alignment horizontal="center"/>
    </xf>
    <xf numFmtId="0" fontId="12" fillId="0" borderId="64" xfId="0" applyFont="1" applyBorder="1" applyAlignment="1">
      <alignment horizontal="center"/>
    </xf>
    <xf numFmtId="0" fontId="12" fillId="0" borderId="18" xfId="0" applyFont="1" applyBorder="1" applyAlignment="1">
      <alignment horizontal="center"/>
    </xf>
    <xf numFmtId="164" fontId="9" fillId="5" borderId="36" xfId="0" applyNumberFormat="1" applyFont="1" applyFill="1" applyBorder="1"/>
    <xf numFmtId="0" fontId="12" fillId="0" borderId="56" xfId="0" applyFont="1" applyBorder="1" applyAlignment="1">
      <alignment horizontal="center" wrapText="1"/>
    </xf>
    <xf numFmtId="0" fontId="9" fillId="0" borderId="2" xfId="0" applyFont="1" applyBorder="1" applyAlignment="1">
      <alignment horizontal="center"/>
    </xf>
    <xf numFmtId="0" fontId="9" fillId="0" borderId="22" xfId="0" applyFont="1" applyBorder="1" applyAlignment="1">
      <alignment horizontal="center"/>
    </xf>
    <xf numFmtId="0" fontId="9" fillId="0" borderId="3" xfId="0" applyFont="1" applyBorder="1" applyAlignment="1">
      <alignment horizontal="center"/>
    </xf>
    <xf numFmtId="43" fontId="12" fillId="0" borderId="1" xfId="1" applyFont="1" applyFill="1" applyBorder="1"/>
    <xf numFmtId="171" fontId="6" fillId="17" borderId="0" xfId="3" applyNumberFormat="1" applyFont="1" applyFill="1"/>
    <xf numFmtId="166" fontId="6" fillId="0" borderId="0" xfId="55" applyNumberFormat="1" applyFill="1"/>
    <xf numFmtId="168" fontId="6" fillId="0" borderId="1" xfId="55" applyNumberFormat="1" applyFill="1" applyBorder="1" applyAlignment="1">
      <alignment horizontal="center"/>
    </xf>
    <xf numFmtId="0" fontId="6" fillId="0" borderId="3" xfId="55" applyFill="1" applyBorder="1"/>
    <xf numFmtId="0" fontId="6" fillId="0" borderId="0" xfId="55" applyFill="1"/>
    <xf numFmtId="170" fontId="6" fillId="0" borderId="1" xfId="55" applyNumberFormat="1" applyFill="1" applyBorder="1" applyAlignment="1">
      <alignment horizontal="center"/>
    </xf>
    <xf numFmtId="0" fontId="10" fillId="0" borderId="7" xfId="0" applyFont="1" applyFill="1" applyBorder="1" applyAlignment="1">
      <alignment horizontal="right"/>
    </xf>
    <xf numFmtId="43" fontId="10" fillId="0" borderId="0" xfId="1" applyFont="1"/>
    <xf numFmtId="0" fontId="6" fillId="0" borderId="0" xfId="55" applyAlignment="1">
      <alignment horizontal="center"/>
    </xf>
    <xf numFmtId="0" fontId="20" fillId="8" borderId="20" xfId="0" applyFont="1" applyFill="1" applyBorder="1" applyProtection="1">
      <protection locked="0"/>
    </xf>
    <xf numFmtId="165" fontId="10" fillId="8" borderId="60" xfId="0" applyNumberFormat="1" applyFont="1" applyFill="1" applyBorder="1" applyProtection="1">
      <protection locked="0"/>
    </xf>
    <xf numFmtId="0" fontId="9" fillId="8" borderId="56" xfId="0" applyFont="1" applyFill="1" applyBorder="1" applyAlignment="1" applyProtection="1">
      <alignment horizontal="right"/>
      <protection locked="0"/>
    </xf>
    <xf numFmtId="0" fontId="12" fillId="8" borderId="56" xfId="0" applyFont="1" applyFill="1" applyBorder="1" applyAlignment="1" applyProtection="1">
      <alignment horizontal="right"/>
      <protection locked="0"/>
    </xf>
    <xf numFmtId="0" fontId="6" fillId="8" borderId="3" xfId="55" applyFill="1" applyBorder="1" applyProtection="1">
      <protection locked="0"/>
    </xf>
    <xf numFmtId="0" fontId="6" fillId="8" borderId="1" xfId="55" applyFill="1" applyBorder="1" applyProtection="1">
      <protection locked="0"/>
    </xf>
    <xf numFmtId="9" fontId="0" fillId="8" borderId="1" xfId="56" applyFont="1" applyFill="1" applyBorder="1" applyProtection="1">
      <protection locked="0"/>
    </xf>
    <xf numFmtId="9" fontId="0" fillId="8" borderId="15" xfId="56" applyFont="1" applyFill="1" applyBorder="1" applyProtection="1">
      <protection locked="0"/>
    </xf>
    <xf numFmtId="43" fontId="0" fillId="8" borderId="1" xfId="57" applyFont="1" applyFill="1" applyBorder="1" applyProtection="1">
      <protection locked="0"/>
    </xf>
    <xf numFmtId="9" fontId="0" fillId="8" borderId="56" xfId="56" applyFont="1" applyFill="1" applyBorder="1" applyProtection="1">
      <protection locked="0"/>
    </xf>
    <xf numFmtId="0" fontId="44" fillId="15" borderId="56" xfId="55" applyFont="1" applyFill="1" applyBorder="1" applyAlignment="1" applyProtection="1">
      <alignment horizontal="center" wrapText="1"/>
      <protection locked="0"/>
    </xf>
    <xf numFmtId="37" fontId="0" fillId="8" borderId="1" xfId="57" applyNumberFormat="1" applyFont="1" applyFill="1" applyBorder="1" applyProtection="1">
      <protection locked="0"/>
    </xf>
    <xf numFmtId="164" fontId="9" fillId="8" borderId="0" xfId="0" applyNumberFormat="1" applyFont="1" applyFill="1" applyBorder="1" applyProtection="1">
      <protection locked="0"/>
    </xf>
    <xf numFmtId="164" fontId="9" fillId="15" borderId="0" xfId="0" applyNumberFormat="1" applyFont="1" applyFill="1" applyBorder="1" applyProtection="1">
      <protection locked="0"/>
    </xf>
    <xf numFmtId="0" fontId="0" fillId="15" borderId="0" xfId="0" applyFill="1" applyBorder="1" applyProtection="1">
      <protection locked="0"/>
    </xf>
    <xf numFmtId="0" fontId="6" fillId="0" borderId="1" xfId="55" applyBorder="1" applyAlignment="1" applyProtection="1">
      <alignment horizontal="center"/>
    </xf>
    <xf numFmtId="0" fontId="6" fillId="0" borderId="54" xfId="55" applyBorder="1" applyProtection="1"/>
    <xf numFmtId="0" fontId="6" fillId="0" borderId="1" xfId="55" applyBorder="1" applyProtection="1"/>
    <xf numFmtId="0" fontId="6" fillId="0" borderId="2" xfId="55" applyBorder="1" applyProtection="1"/>
    <xf numFmtId="167" fontId="0" fillId="9" borderId="1" xfId="56" applyNumberFormat="1" applyFont="1" applyFill="1" applyBorder="1" applyProtection="1"/>
    <xf numFmtId="168" fontId="0" fillId="9" borderId="1" xfId="57" applyNumberFormat="1" applyFont="1" applyFill="1" applyBorder="1" applyProtection="1"/>
    <xf numFmtId="37" fontId="0" fillId="9" borderId="1" xfId="57" applyNumberFormat="1" applyFont="1" applyFill="1" applyBorder="1" applyProtection="1"/>
    <xf numFmtId="37" fontId="0" fillId="9" borderId="2" xfId="57" applyNumberFormat="1" applyFont="1" applyFill="1" applyBorder="1" applyProtection="1"/>
    <xf numFmtId="37" fontId="0" fillId="9" borderId="56" xfId="57" applyNumberFormat="1" applyFont="1" applyFill="1" applyBorder="1" applyProtection="1"/>
    <xf numFmtId="37" fontId="41" fillId="17" borderId="1" xfId="57" applyNumberFormat="1" applyFont="1" applyFill="1" applyBorder="1" applyProtection="1"/>
    <xf numFmtId="37" fontId="41" fillId="17" borderId="54" xfId="57" applyNumberFormat="1" applyFont="1" applyFill="1" applyBorder="1" applyProtection="1"/>
    <xf numFmtId="0" fontId="5" fillId="0" borderId="2" xfId="55" applyFont="1" applyFill="1" applyBorder="1"/>
    <xf numFmtId="0" fontId="5" fillId="0" borderId="0" xfId="55" applyFont="1"/>
    <xf numFmtId="166" fontId="6" fillId="9" borderId="0" xfId="55" applyNumberFormat="1" applyFill="1"/>
    <xf numFmtId="168" fontId="6" fillId="9" borderId="1" xfId="55" applyNumberFormat="1" applyFill="1" applyBorder="1" applyAlignment="1">
      <alignment horizontal="center"/>
    </xf>
    <xf numFmtId="0" fontId="5" fillId="9" borderId="2" xfId="55" applyFont="1" applyFill="1" applyBorder="1"/>
    <xf numFmtId="0" fontId="6" fillId="9" borderId="3" xfId="55" applyFill="1" applyBorder="1"/>
    <xf numFmtId="170" fontId="6" fillId="9" borderId="1" xfId="55" applyNumberFormat="1" applyFill="1" applyBorder="1" applyAlignment="1">
      <alignment horizontal="center"/>
    </xf>
    <xf numFmtId="0" fontId="0" fillId="22" borderId="0" xfId="0" applyFill="1"/>
    <xf numFmtId="0" fontId="0" fillId="22" borderId="0" xfId="0" applyFill="1" applyAlignment="1">
      <alignment horizontal="center"/>
    </xf>
    <xf numFmtId="0" fontId="0" fillId="20" borderId="0" xfId="0" applyFill="1"/>
    <xf numFmtId="171" fontId="0" fillId="22" borderId="0" xfId="3" applyNumberFormat="1" applyFont="1" applyFill="1"/>
    <xf numFmtId="164" fontId="9" fillId="8" borderId="68" xfId="0" applyNumberFormat="1" applyFont="1" applyFill="1" applyBorder="1" applyProtection="1">
      <protection locked="0"/>
    </xf>
    <xf numFmtId="164" fontId="9" fillId="15" borderId="68" xfId="0" applyNumberFormat="1" applyFont="1" applyFill="1" applyBorder="1" applyProtection="1">
      <protection locked="0"/>
    </xf>
    <xf numFmtId="0" fontId="0" fillId="15" borderId="68" xfId="0" applyFill="1" applyBorder="1" applyProtection="1">
      <protection locked="0"/>
    </xf>
    <xf numFmtId="0" fontId="28" fillId="0" borderId="0" xfId="0" applyFont="1"/>
    <xf numFmtId="164" fontId="9" fillId="8" borderId="3" xfId="0" applyNumberFormat="1" applyFont="1" applyFill="1" applyBorder="1" applyAlignment="1" applyProtection="1">
      <alignment horizontal="center"/>
      <protection locked="0"/>
    </xf>
    <xf numFmtId="164" fontId="9" fillId="8" borderId="1" xfId="0" applyNumberFormat="1" applyFont="1" applyFill="1" applyBorder="1" applyAlignment="1" applyProtection="1">
      <alignment horizontal="center"/>
      <protection locked="0"/>
    </xf>
    <xf numFmtId="168" fontId="9" fillId="8" borderId="22" xfId="1" applyNumberFormat="1" applyFont="1" applyFill="1" applyBorder="1" applyProtection="1">
      <protection locked="0"/>
    </xf>
    <xf numFmtId="164" fontId="12" fillId="15" borderId="0" xfId="0" applyNumberFormat="1" applyFont="1" applyFill="1" applyBorder="1" applyProtection="1">
      <protection locked="0"/>
    </xf>
    <xf numFmtId="0" fontId="51" fillId="15" borderId="0" xfId="0" applyFont="1" applyFill="1" applyBorder="1" applyProtection="1">
      <protection locked="0"/>
    </xf>
    <xf numFmtId="9" fontId="6" fillId="0" borderId="8" xfId="2" applyFont="1" applyBorder="1" applyAlignment="1" applyProtection="1">
      <alignment horizontal="center"/>
    </xf>
    <xf numFmtId="0" fontId="12" fillId="15" borderId="0" xfId="0" applyFont="1" applyFill="1" applyProtection="1">
      <protection locked="0"/>
    </xf>
    <xf numFmtId="0" fontId="9" fillId="0" borderId="0" xfId="0" applyFont="1" applyBorder="1" applyProtection="1"/>
    <xf numFmtId="0" fontId="0" fillId="0" borderId="0" xfId="0" applyProtection="1"/>
    <xf numFmtId="0" fontId="13" fillId="0" borderId="0" xfId="0" applyFont="1" applyBorder="1" applyAlignment="1" applyProtection="1"/>
    <xf numFmtId="0" fontId="21" fillId="0" borderId="37" xfId="0" applyFont="1" applyBorder="1" applyProtection="1"/>
    <xf numFmtId="0" fontId="6" fillId="0" borderId="0" xfId="55" applyProtection="1"/>
    <xf numFmtId="0" fontId="9" fillId="0" borderId="0" xfId="0" applyFont="1" applyFill="1" applyBorder="1" applyProtection="1"/>
    <xf numFmtId="0" fontId="40" fillId="0" borderId="0" xfId="0" applyFont="1" applyBorder="1" applyProtection="1"/>
    <xf numFmtId="0" fontId="45" fillId="0" borderId="0" xfId="0" applyFont="1" applyBorder="1" applyProtection="1"/>
    <xf numFmtId="0" fontId="0" fillId="0" borderId="0" xfId="0" applyBorder="1" applyProtection="1"/>
    <xf numFmtId="0" fontId="13" fillId="0" borderId="0" xfId="0" applyFont="1" applyBorder="1" applyAlignment="1" applyProtection="1">
      <alignment horizontal="right"/>
    </xf>
    <xf numFmtId="0" fontId="21" fillId="0" borderId="0" xfId="0" applyFont="1" applyBorder="1" applyProtection="1"/>
    <xf numFmtId="0" fontId="44" fillId="0" borderId="0" xfId="55" applyFont="1" applyProtection="1"/>
    <xf numFmtId="0" fontId="6" fillId="0" borderId="0" xfId="55" applyBorder="1" applyProtection="1"/>
    <xf numFmtId="0" fontId="13" fillId="0" borderId="15" xfId="0" applyFont="1" applyBorder="1" applyAlignment="1" applyProtection="1">
      <alignment horizontal="center"/>
    </xf>
    <xf numFmtId="0" fontId="13" fillId="0" borderId="16" xfId="0" applyFont="1" applyBorder="1" applyAlignment="1" applyProtection="1">
      <alignment horizontal="center"/>
    </xf>
    <xf numFmtId="0" fontId="13" fillId="0" borderId="56" xfId="0" applyFont="1" applyBorder="1" applyAlignment="1" applyProtection="1">
      <alignment horizontal="center"/>
    </xf>
    <xf numFmtId="0" fontId="13" fillId="0" borderId="21" xfId="0" applyFont="1" applyBorder="1" applyAlignment="1" applyProtection="1">
      <alignment horizontal="center"/>
    </xf>
    <xf numFmtId="0" fontId="9" fillId="0" borderId="0" xfId="0" applyFont="1" applyBorder="1" applyAlignment="1" applyProtection="1">
      <alignment wrapText="1"/>
    </xf>
    <xf numFmtId="0" fontId="13" fillId="0" borderId="0" xfId="0" applyFont="1" applyBorder="1" applyProtection="1"/>
    <xf numFmtId="0" fontId="6" fillId="0" borderId="0" xfId="55" applyBorder="1" applyAlignment="1" applyProtection="1">
      <alignment horizontal="center"/>
    </xf>
    <xf numFmtId="0" fontId="41" fillId="0" borderId="56" xfId="55" applyFont="1" applyBorder="1" applyAlignment="1" applyProtection="1">
      <alignment horizontal="center"/>
    </xf>
    <xf numFmtId="0" fontId="18" fillId="0" borderId="41" xfId="0" applyFont="1" applyBorder="1" applyAlignment="1" applyProtection="1">
      <alignment horizontal="center"/>
    </xf>
    <xf numFmtId="0" fontId="18" fillId="0" borderId="62" xfId="0" applyFont="1" applyBorder="1" applyAlignment="1" applyProtection="1">
      <alignment horizontal="center"/>
    </xf>
    <xf numFmtId="0" fontId="46" fillId="0" borderId="0" xfId="55" applyFont="1" applyAlignment="1" applyProtection="1">
      <alignment wrapText="1"/>
    </xf>
    <xf numFmtId="0" fontId="6" fillId="0" borderId="1" xfId="55" applyBorder="1" applyAlignment="1" applyProtection="1">
      <alignment horizontal="center" wrapText="1"/>
    </xf>
    <xf numFmtId="0" fontId="6" fillId="0" borderId="0" xfId="55" applyAlignment="1" applyProtection="1">
      <alignment horizontal="center"/>
    </xf>
    <xf numFmtId="0" fontId="44" fillId="0" borderId="0" xfId="55" applyFont="1" applyFill="1" applyProtection="1"/>
    <xf numFmtId="37" fontId="0" fillId="18" borderId="1" xfId="57" applyNumberFormat="1" applyFont="1" applyFill="1" applyBorder="1" applyProtection="1"/>
    <xf numFmtId="43" fontId="0" fillId="0" borderId="0" xfId="57" applyFont="1" applyProtection="1"/>
    <xf numFmtId="9" fontId="0" fillId="0" borderId="0" xfId="56" applyFont="1" applyFill="1" applyProtection="1"/>
    <xf numFmtId="0" fontId="47" fillId="0" borderId="0" xfId="55" applyFont="1" applyProtection="1"/>
    <xf numFmtId="0" fontId="41" fillId="0" borderId="1" xfId="55" applyFont="1" applyBorder="1" applyAlignment="1" applyProtection="1">
      <alignment horizontal="center"/>
    </xf>
    <xf numFmtId="0" fontId="6" fillId="0" borderId="15" xfId="55" applyBorder="1" applyProtection="1"/>
    <xf numFmtId="0" fontId="44" fillId="8" borderId="56" xfId="55" applyFont="1" applyFill="1" applyBorder="1" applyProtection="1"/>
    <xf numFmtId="0" fontId="41" fillId="17" borderId="1" xfId="55" applyFont="1" applyFill="1" applyBorder="1" applyAlignment="1" applyProtection="1">
      <alignment horizontal="right"/>
    </xf>
    <xf numFmtId="0" fontId="40" fillId="0" borderId="0" xfId="0" applyFont="1" applyBorder="1" applyAlignment="1" applyProtection="1"/>
    <xf numFmtId="0" fontId="13" fillId="0" borderId="0" xfId="0" applyFont="1" applyBorder="1" applyAlignment="1" applyProtection="1">
      <alignment horizontal="center"/>
    </xf>
    <xf numFmtId="0" fontId="31" fillId="0" borderId="0" xfId="0" applyFont="1" applyBorder="1" applyAlignment="1" applyProtection="1"/>
    <xf numFmtId="0" fontId="10" fillId="0" borderId="0" xfId="0" applyFont="1" applyBorder="1" applyAlignment="1" applyProtection="1">
      <alignment horizontal="center"/>
    </xf>
    <xf numFmtId="0" fontId="13" fillId="3" borderId="8" xfId="0" applyFont="1" applyFill="1" applyBorder="1" applyProtection="1"/>
    <xf numFmtId="0" fontId="18" fillId="3" borderId="50" xfId="0" applyFont="1" applyFill="1" applyBorder="1" applyAlignment="1" applyProtection="1">
      <alignment horizontal="center"/>
    </xf>
    <xf numFmtId="0" fontId="18" fillId="3" borderId="51" xfId="0" applyFont="1" applyFill="1" applyBorder="1" applyAlignment="1" applyProtection="1">
      <alignment horizontal="center"/>
    </xf>
    <xf numFmtId="0" fontId="18" fillId="3" borderId="52" xfId="0" applyFont="1" applyFill="1" applyBorder="1" applyAlignment="1" applyProtection="1">
      <alignment horizontal="center"/>
    </xf>
    <xf numFmtId="0" fontId="12" fillId="0" borderId="0" xfId="0" applyFont="1" applyFill="1" applyBorder="1" applyProtection="1"/>
    <xf numFmtId="164" fontId="9" fillId="9" borderId="0" xfId="0" applyNumberFormat="1" applyFont="1" applyFill="1" applyBorder="1" applyProtection="1"/>
    <xf numFmtId="0" fontId="14" fillId="0" borderId="0" xfId="0" applyFont="1" applyFill="1" applyBorder="1" applyProtection="1"/>
    <xf numFmtId="164" fontId="9" fillId="0" borderId="0" xfId="0" applyNumberFormat="1" applyFont="1" applyFill="1" applyBorder="1" applyProtection="1"/>
    <xf numFmtId="0" fontId="12" fillId="0" borderId="0" xfId="0" applyFont="1" applyBorder="1" applyProtection="1"/>
    <xf numFmtId="0" fontId="12" fillId="9" borderId="0" xfId="0" applyFont="1" applyFill="1" applyBorder="1" applyProtection="1"/>
    <xf numFmtId="0" fontId="6" fillId="0" borderId="68" xfId="55" applyBorder="1" applyProtection="1"/>
    <xf numFmtId="164" fontId="9" fillId="8" borderId="68" xfId="0" applyNumberFormat="1" applyFont="1" applyFill="1" applyBorder="1" applyProtection="1"/>
    <xf numFmtId="164" fontId="52" fillId="9" borderId="0" xfId="0" applyNumberFormat="1" applyFont="1" applyFill="1" applyBorder="1" applyAlignment="1" applyProtection="1"/>
    <xf numFmtId="164" fontId="12" fillId="9" borderId="0" xfId="0" applyNumberFormat="1" applyFont="1" applyFill="1" applyBorder="1" applyAlignment="1" applyProtection="1"/>
    <xf numFmtId="0" fontId="9" fillId="0" borderId="0" xfId="0" applyFont="1" applyProtection="1"/>
    <xf numFmtId="0" fontId="0" fillId="10" borderId="1" xfId="0" applyFill="1" applyBorder="1" applyAlignment="1" applyProtection="1">
      <alignment horizontal="center"/>
    </xf>
    <xf numFmtId="0" fontId="0" fillId="10" borderId="1" xfId="0" applyFill="1" applyBorder="1" applyAlignment="1" applyProtection="1">
      <alignment horizontal="center" wrapText="1"/>
    </xf>
    <xf numFmtId="168" fontId="0" fillId="0" borderId="1" xfId="1" applyNumberFormat="1" applyFont="1" applyBorder="1" applyProtection="1"/>
    <xf numFmtId="171" fontId="0" fillId="0" borderId="1" xfId="3" applyNumberFormat="1" applyFont="1" applyBorder="1" applyProtection="1"/>
    <xf numFmtId="171" fontId="0" fillId="0" borderId="1" xfId="0" applyNumberFormat="1" applyBorder="1" applyProtection="1"/>
    <xf numFmtId="168" fontId="51" fillId="0" borderId="2" xfId="1" applyNumberFormat="1" applyFont="1" applyFill="1" applyBorder="1" applyProtection="1"/>
    <xf numFmtId="0" fontId="51" fillId="0" borderId="54" xfId="0" applyFont="1" applyFill="1" applyBorder="1" applyProtection="1"/>
    <xf numFmtId="164" fontId="12" fillId="0" borderId="69" xfId="0" applyNumberFormat="1" applyFont="1" applyFill="1" applyBorder="1" applyAlignment="1" applyProtection="1">
      <alignment horizontal="center"/>
    </xf>
    <xf numFmtId="168" fontId="51" fillId="0" borderId="1" xfId="0" applyNumberFormat="1" applyFont="1" applyFill="1" applyBorder="1" applyProtection="1"/>
    <xf numFmtId="0" fontId="51" fillId="0" borderId="0" xfId="0" applyFont="1" applyFill="1" applyProtection="1"/>
    <xf numFmtId="171" fontId="51" fillId="0" borderId="1" xfId="0" applyNumberFormat="1" applyFont="1" applyFill="1" applyBorder="1" applyProtection="1"/>
    <xf numFmtId="0" fontId="12" fillId="0" borderId="0" xfId="0" applyFont="1" applyProtection="1"/>
    <xf numFmtId="171" fontId="0" fillId="0" borderId="1" xfId="3" applyNumberFormat="1" applyFont="1" applyBorder="1" applyAlignment="1" applyProtection="1">
      <alignment horizontal="center"/>
    </xf>
    <xf numFmtId="0" fontId="24" fillId="0" borderId="0" xfId="0" applyFont="1" applyBorder="1" applyAlignment="1" applyProtection="1">
      <alignment horizontal="right"/>
    </xf>
    <xf numFmtId="0" fontId="24" fillId="0" borderId="0" xfId="0" applyFont="1" applyFill="1" applyBorder="1" applyProtection="1"/>
    <xf numFmtId="164" fontId="12" fillId="0" borderId="0" xfId="0" applyNumberFormat="1" applyFont="1" applyFill="1" applyBorder="1" applyProtection="1"/>
    <xf numFmtId="0" fontId="48" fillId="17" borderId="0" xfId="55" applyFont="1" applyFill="1"/>
    <xf numFmtId="0" fontId="48" fillId="17" borderId="0" xfId="55" applyFont="1" applyFill="1" applyAlignment="1">
      <alignment horizontal="center"/>
    </xf>
    <xf numFmtId="43" fontId="28" fillId="17" borderId="0" xfId="1" applyFont="1" applyFill="1" applyAlignment="1">
      <alignment horizontal="center"/>
    </xf>
    <xf numFmtId="0" fontId="10" fillId="17" borderId="0" xfId="55" applyFont="1" applyFill="1"/>
    <xf numFmtId="43" fontId="28" fillId="17" borderId="0" xfId="57" applyFont="1" applyFill="1"/>
    <xf numFmtId="43" fontId="28" fillId="17" borderId="21" xfId="57" applyFont="1" applyFill="1" applyBorder="1"/>
    <xf numFmtId="168" fontId="28" fillId="17" borderId="0" xfId="57" applyNumberFormat="1" applyFont="1" applyFill="1" applyAlignment="1">
      <alignment horizontal="center"/>
    </xf>
    <xf numFmtId="0" fontId="6" fillId="17" borderId="0" xfId="55" applyFill="1"/>
    <xf numFmtId="0" fontId="44" fillId="17" borderId="0" xfId="55" applyFont="1" applyFill="1"/>
    <xf numFmtId="169" fontId="6" fillId="17" borderId="0" xfId="55" applyNumberFormat="1" applyFill="1"/>
    <xf numFmtId="0" fontId="44" fillId="0" borderId="0" xfId="55" applyFont="1" applyFill="1"/>
    <xf numFmtId="0" fontId="55" fillId="0" borderId="0" xfId="0" applyFont="1" applyAlignment="1">
      <alignment vertical="center"/>
    </xf>
    <xf numFmtId="0" fontId="54" fillId="0" borderId="0" xfId="0" applyFont="1" applyAlignment="1">
      <alignment vertical="center"/>
    </xf>
    <xf numFmtId="0" fontId="57" fillId="0" borderId="0" xfId="0" applyFont="1" applyAlignment="1">
      <alignment vertical="center"/>
    </xf>
    <xf numFmtId="0" fontId="58" fillId="0" borderId="70" xfId="0" applyFont="1" applyBorder="1" applyAlignment="1">
      <alignment vertical="center" wrapText="1"/>
    </xf>
    <xf numFmtId="0" fontId="59" fillId="0" borderId="71" xfId="0" applyFont="1" applyBorder="1" applyAlignment="1">
      <alignment horizontal="center" vertical="center" wrapText="1"/>
    </xf>
    <xf numFmtId="0" fontId="59" fillId="0" borderId="73" xfId="0" applyFont="1" applyBorder="1" applyAlignment="1">
      <alignment vertical="center" wrapText="1"/>
    </xf>
    <xf numFmtId="0" fontId="57" fillId="0" borderId="73" xfId="0" applyFont="1" applyBorder="1" applyAlignment="1">
      <alignment vertical="center" wrapText="1"/>
    </xf>
    <xf numFmtId="0" fontId="57" fillId="0" borderId="72" xfId="0" applyFont="1" applyBorder="1" applyAlignment="1">
      <alignment vertical="center" wrapText="1"/>
    </xf>
    <xf numFmtId="0" fontId="58" fillId="0" borderId="72" xfId="0" applyFont="1" applyBorder="1" applyAlignment="1">
      <alignment vertical="center" wrapText="1"/>
    </xf>
    <xf numFmtId="0" fontId="59" fillId="0" borderId="74" xfId="0" applyFont="1" applyBorder="1" applyAlignment="1">
      <alignment horizontal="center" vertical="center" wrapText="1"/>
    </xf>
    <xf numFmtId="0" fontId="58" fillId="0" borderId="73" xfId="0" applyFont="1" applyBorder="1" applyAlignment="1">
      <alignment vertical="center" wrapText="1"/>
    </xf>
    <xf numFmtId="0" fontId="60" fillId="0" borderId="72" xfId="0" applyFont="1" applyBorder="1" applyAlignment="1">
      <alignment vertical="center" wrapText="1"/>
    </xf>
    <xf numFmtId="0" fontId="59" fillId="0" borderId="72" xfId="0" applyFont="1" applyBorder="1" applyAlignment="1">
      <alignment horizontal="right" vertical="center" wrapText="1"/>
    </xf>
    <xf numFmtId="0" fontId="54" fillId="0" borderId="0" xfId="0" applyFont="1" applyAlignment="1">
      <alignment horizontal="left" vertical="center" indent="1"/>
    </xf>
    <xf numFmtId="0" fontId="28" fillId="0" borderId="0" xfId="0" applyFont="1" applyAlignment="1">
      <alignment horizontal="left" vertical="center" indent="1"/>
    </xf>
    <xf numFmtId="0" fontId="54" fillId="0" borderId="0" xfId="0" applyFont="1" applyAlignment="1">
      <alignment horizontal="left" vertical="center" indent="4"/>
    </xf>
    <xf numFmtId="0" fontId="63" fillId="0" borderId="0" xfId="0" applyFont="1" applyAlignment="1">
      <alignment vertical="center"/>
    </xf>
    <xf numFmtId="0" fontId="65" fillId="0" borderId="0" xfId="0" applyFont="1" applyFill="1" applyBorder="1" applyProtection="1"/>
    <xf numFmtId="0" fontId="66" fillId="0" borderId="0" xfId="0" applyFont="1" applyFill="1" applyProtection="1"/>
    <xf numFmtId="0" fontId="3" fillId="0" borderId="1" xfId="55" applyFont="1" applyBorder="1" applyAlignment="1" applyProtection="1">
      <alignment horizontal="center"/>
    </xf>
    <xf numFmtId="0" fontId="41" fillId="17" borderId="15" xfId="55" applyFont="1" applyFill="1" applyBorder="1" applyAlignment="1" applyProtection="1">
      <alignment horizontal="right"/>
    </xf>
    <xf numFmtId="37" fontId="41" fillId="17" borderId="15" xfId="57" applyNumberFormat="1" applyFont="1" applyFill="1" applyBorder="1" applyProtection="1"/>
    <xf numFmtId="37" fontId="41" fillId="17" borderId="47" xfId="57" applyNumberFormat="1" applyFont="1" applyFill="1" applyBorder="1" applyProtection="1"/>
    <xf numFmtId="0" fontId="6" fillId="2" borderId="8" xfId="55" applyFill="1" applyBorder="1" applyProtection="1"/>
    <xf numFmtId="0" fontId="44" fillId="2" borderId="51" xfId="55" applyFont="1" applyFill="1" applyBorder="1" applyProtection="1"/>
    <xf numFmtId="0" fontId="41" fillId="2" borderId="51" xfId="55" applyFont="1" applyFill="1" applyBorder="1" applyAlignment="1" applyProtection="1">
      <alignment horizontal="right"/>
    </xf>
    <xf numFmtId="37" fontId="41" fillId="2" borderId="51" xfId="57" applyNumberFormat="1" applyFont="1" applyFill="1" applyBorder="1" applyProtection="1"/>
    <xf numFmtId="37" fontId="41" fillId="2" borderId="52" xfId="57" applyNumberFormat="1" applyFont="1" applyFill="1" applyBorder="1" applyProtection="1"/>
    <xf numFmtId="0" fontId="2" fillId="16" borderId="1" xfId="55" applyFont="1" applyFill="1" applyBorder="1"/>
    <xf numFmtId="0" fontId="2" fillId="0" borderId="0" xfId="55" applyFont="1" applyFill="1" applyBorder="1"/>
    <xf numFmtId="172" fontId="6" fillId="0" borderId="0" xfId="55" applyNumberFormat="1"/>
    <xf numFmtId="0" fontId="0" fillId="0" borderId="0" xfId="0" applyAlignment="1">
      <alignment wrapText="1"/>
    </xf>
    <xf numFmtId="0" fontId="9" fillId="0" borderId="0" xfId="0" applyFont="1" applyBorder="1" applyAlignment="1">
      <alignment wrapText="1"/>
    </xf>
    <xf numFmtId="164" fontId="9" fillId="6" borderId="76" xfId="0" applyNumberFormat="1" applyFont="1" applyFill="1" applyBorder="1"/>
    <xf numFmtId="164" fontId="9" fillId="6" borderId="77" xfId="0" applyNumberFormat="1" applyFont="1" applyFill="1" applyBorder="1"/>
    <xf numFmtId="164" fontId="9" fillId="6" borderId="78" xfId="0" applyNumberFormat="1" applyFont="1" applyFill="1" applyBorder="1"/>
    <xf numFmtId="164" fontId="9" fillId="6" borderId="79" xfId="0" applyNumberFormat="1" applyFont="1" applyFill="1" applyBorder="1"/>
    <xf numFmtId="0" fontId="9" fillId="10" borderId="1" xfId="0" applyFont="1" applyFill="1" applyBorder="1" applyAlignment="1">
      <alignment wrapText="1"/>
    </xf>
    <xf numFmtId="43" fontId="9" fillId="4" borderId="1" xfId="1" applyFont="1" applyFill="1" applyBorder="1"/>
    <xf numFmtId="0" fontId="13" fillId="3" borderId="1" xfId="0" applyFont="1" applyFill="1" applyBorder="1" applyAlignment="1">
      <alignment horizontal="center"/>
    </xf>
    <xf numFmtId="164" fontId="52" fillId="0" borderId="1" xfId="0" applyNumberFormat="1" applyFont="1" applyBorder="1"/>
    <xf numFmtId="164" fontId="9" fillId="15" borderId="0" xfId="0" applyNumberFormat="1" applyFont="1" applyFill="1" applyBorder="1" applyProtection="1">
      <protection locked="0"/>
    </xf>
    <xf numFmtId="164" fontId="9" fillId="8" borderId="68" xfId="0" applyNumberFormat="1" applyFont="1" applyFill="1" applyBorder="1" applyProtection="1">
      <protection locked="0"/>
    </xf>
    <xf numFmtId="0" fontId="52" fillId="0" borderId="0" xfId="0" applyFont="1"/>
    <xf numFmtId="0" fontId="52" fillId="0" borderId="0" xfId="0" applyFont="1" applyFill="1" applyBorder="1"/>
    <xf numFmtId="0" fontId="16" fillId="0" borderId="1" xfId="0" applyFont="1" applyFill="1" applyBorder="1"/>
    <xf numFmtId="164" fontId="52" fillId="0" borderId="1" xfId="0" applyNumberFormat="1" applyFont="1" applyFill="1" applyBorder="1"/>
    <xf numFmtId="164" fontId="68" fillId="0" borderId="13" xfId="0" applyNumberFormat="1" applyFont="1" applyBorder="1"/>
    <xf numFmtId="168" fontId="9" fillId="0" borderId="0" xfId="1" applyNumberFormat="1" applyFont="1"/>
    <xf numFmtId="164" fontId="9" fillId="15" borderId="0" xfId="0" applyNumberFormat="1" applyFont="1" applyFill="1" applyBorder="1" applyProtection="1">
      <protection locked="0"/>
    </xf>
    <xf numFmtId="164" fontId="12" fillId="15" borderId="0" xfId="0" applyNumberFormat="1" applyFont="1" applyFill="1" applyBorder="1" applyProtection="1">
      <protection locked="0"/>
    </xf>
    <xf numFmtId="0" fontId="51" fillId="15" borderId="0" xfId="0" applyFont="1" applyFill="1" applyBorder="1" applyProtection="1">
      <protection locked="0"/>
    </xf>
    <xf numFmtId="0" fontId="12" fillId="15" borderId="0" xfId="0" applyFont="1" applyFill="1" applyProtection="1">
      <protection locked="0"/>
    </xf>
    <xf numFmtId="10" fontId="9" fillId="0" borderId="0" xfId="2" applyNumberFormat="1" applyFont="1" applyFill="1" applyBorder="1"/>
    <xf numFmtId="0" fontId="50" fillId="0" borderId="0" xfId="55" applyFont="1" applyAlignment="1" applyProtection="1">
      <alignment horizontal="center"/>
    </xf>
    <xf numFmtId="0" fontId="53" fillId="0" borderId="50" xfId="0" applyFont="1" applyBorder="1" applyAlignment="1" applyProtection="1">
      <alignment horizontal="center"/>
    </xf>
    <xf numFmtId="0" fontId="53" fillId="0" borderId="51" xfId="0" applyFont="1" applyBorder="1" applyAlignment="1" applyProtection="1">
      <alignment horizontal="center"/>
    </xf>
    <xf numFmtId="0" fontId="53" fillId="0" borderId="52" xfId="0" applyFont="1" applyBorder="1" applyAlignment="1" applyProtection="1">
      <alignment horizontal="center"/>
    </xf>
    <xf numFmtId="0" fontId="21" fillId="0" borderId="0" xfId="0" applyFont="1" applyBorder="1" applyAlignment="1" applyProtection="1">
      <alignment horizontal="left"/>
    </xf>
    <xf numFmtId="0" fontId="21" fillId="0" borderId="63" xfId="0" applyFont="1" applyBorder="1" applyAlignment="1" applyProtection="1">
      <alignment horizontal="left"/>
    </xf>
    <xf numFmtId="3" fontId="18" fillId="0" borderId="50" xfId="0" applyNumberFormat="1" applyFont="1" applyBorder="1" applyAlignment="1" applyProtection="1">
      <alignment horizontal="center" wrapText="1"/>
    </xf>
    <xf numFmtId="3" fontId="18" fillId="0" borderId="51" xfId="0" applyNumberFormat="1" applyFont="1" applyBorder="1" applyAlignment="1" applyProtection="1">
      <alignment horizontal="center" wrapText="1"/>
    </xf>
    <xf numFmtId="3" fontId="18" fillId="0" borderId="52" xfId="0" applyNumberFormat="1" applyFont="1" applyBorder="1" applyAlignment="1" applyProtection="1">
      <alignment horizontal="center" wrapText="1"/>
    </xf>
    <xf numFmtId="0" fontId="20" fillId="8" borderId="53" xfId="0" applyFont="1" applyFill="1" applyBorder="1" applyAlignment="1" applyProtection="1">
      <alignment horizontal="center" wrapText="1"/>
    </xf>
    <xf numFmtId="0" fontId="20" fillId="8" borderId="0" xfId="0" applyFont="1" applyFill="1" applyBorder="1" applyAlignment="1" applyProtection="1">
      <alignment horizontal="center" wrapText="1"/>
    </xf>
    <xf numFmtId="0" fontId="20" fillId="0" borderId="0" xfId="0" applyFont="1" applyBorder="1" applyAlignment="1" applyProtection="1">
      <alignment horizontal="center"/>
    </xf>
    <xf numFmtId="0" fontId="13" fillId="8" borderId="57" xfId="0" applyFont="1" applyFill="1" applyBorder="1" applyAlignment="1" applyProtection="1">
      <alignment horizontal="center"/>
      <protection locked="0"/>
    </xf>
    <xf numFmtId="0" fontId="13" fillId="8" borderId="58" xfId="0" applyFont="1" applyFill="1" applyBorder="1" applyAlignment="1" applyProtection="1">
      <alignment horizontal="center"/>
      <protection locked="0"/>
    </xf>
    <xf numFmtId="0" fontId="13" fillId="8" borderId="59" xfId="0" applyFont="1" applyFill="1" applyBorder="1" applyAlignment="1" applyProtection="1">
      <alignment horizontal="center"/>
      <protection locked="0"/>
    </xf>
    <xf numFmtId="0" fontId="43" fillId="0" borderId="0" xfId="0" applyFont="1" applyBorder="1" applyAlignment="1" applyProtection="1">
      <alignment horizontal="center"/>
    </xf>
    <xf numFmtId="0" fontId="4" fillId="0" borderId="57" xfId="55" applyFont="1" applyFill="1" applyBorder="1" applyAlignment="1" applyProtection="1">
      <alignment horizontal="center"/>
    </xf>
    <xf numFmtId="0" fontId="6" fillId="0" borderId="58" xfId="55" applyFill="1" applyBorder="1" applyAlignment="1" applyProtection="1">
      <alignment horizontal="center"/>
    </xf>
    <xf numFmtId="0" fontId="44" fillId="15" borderId="0" xfId="55" applyFont="1" applyFill="1" applyAlignment="1" applyProtection="1">
      <alignment horizontal="left" wrapText="1"/>
    </xf>
    <xf numFmtId="0" fontId="44" fillId="15" borderId="63" xfId="55" applyFont="1" applyFill="1" applyBorder="1" applyAlignment="1" applyProtection="1">
      <alignment horizontal="left" wrapText="1"/>
    </xf>
    <xf numFmtId="0" fontId="44" fillId="8" borderId="57" xfId="55" applyFont="1" applyFill="1" applyBorder="1" applyAlignment="1" applyProtection="1">
      <alignment horizontal="center"/>
    </xf>
    <xf numFmtId="0" fontId="44" fillId="8" borderId="59" xfId="55" applyFont="1" applyFill="1" applyBorder="1" applyAlignment="1" applyProtection="1">
      <alignment horizontal="center"/>
    </xf>
    <xf numFmtId="0" fontId="6" fillId="8" borderId="2" xfId="55" applyFill="1" applyBorder="1" applyAlignment="1" applyProtection="1">
      <alignment horizontal="left"/>
      <protection locked="0"/>
    </xf>
    <xf numFmtId="0" fontId="6" fillId="8" borderId="22" xfId="55" applyFill="1" applyBorder="1" applyAlignment="1" applyProtection="1">
      <alignment horizontal="left"/>
      <protection locked="0"/>
    </xf>
    <xf numFmtId="0" fontId="6" fillId="8" borderId="3" xfId="55" applyFill="1" applyBorder="1" applyAlignment="1" applyProtection="1">
      <alignment horizontal="left"/>
      <protection locked="0"/>
    </xf>
    <xf numFmtId="0" fontId="48" fillId="8" borderId="57" xfId="0" applyFont="1" applyFill="1" applyBorder="1" applyAlignment="1" applyProtection="1">
      <alignment horizontal="center" wrapText="1"/>
    </xf>
    <xf numFmtId="0" fontId="48" fillId="8" borderId="58" xfId="0" applyFont="1" applyFill="1" applyBorder="1" applyAlignment="1" applyProtection="1">
      <alignment horizontal="center" wrapText="1"/>
    </xf>
    <xf numFmtId="0" fontId="48" fillId="8" borderId="59" xfId="0" applyFont="1" applyFill="1" applyBorder="1" applyAlignment="1" applyProtection="1">
      <alignment horizontal="center" wrapText="1"/>
    </xf>
    <xf numFmtId="0" fontId="64" fillId="0" borderId="0" xfId="0" applyFont="1" applyAlignment="1" applyProtection="1">
      <alignment horizontal="right"/>
    </xf>
    <xf numFmtId="0" fontId="43" fillId="23" borderId="0" xfId="0" applyFont="1" applyFill="1" applyBorder="1" applyAlignment="1" applyProtection="1">
      <alignment horizontal="center"/>
    </xf>
    <xf numFmtId="0" fontId="13" fillId="0" borderId="0" xfId="0" applyFont="1" applyAlignment="1">
      <alignment horizontal="center"/>
    </xf>
    <xf numFmtId="0" fontId="9" fillId="3" borderId="0" xfId="0" applyFont="1" applyFill="1" applyBorder="1" applyAlignment="1">
      <alignment horizontal="center" vertical="center" wrapText="1"/>
    </xf>
    <xf numFmtId="0" fontId="13" fillId="3" borderId="2" xfId="0" applyFont="1" applyFill="1" applyBorder="1" applyAlignment="1">
      <alignment horizontal="center"/>
    </xf>
    <xf numFmtId="0" fontId="13" fillId="3" borderId="22" xfId="0" applyFont="1" applyFill="1" applyBorder="1" applyAlignment="1">
      <alignment horizontal="center"/>
    </xf>
    <xf numFmtId="0" fontId="13" fillId="3" borderId="3" xfId="0" applyFont="1" applyFill="1" applyBorder="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6" fillId="0" borderId="0" xfId="55" applyAlignment="1">
      <alignment horizontal="center"/>
    </xf>
    <xf numFmtId="0" fontId="12" fillId="0" borderId="33" xfId="0" applyFont="1" applyBorder="1" applyAlignment="1">
      <alignment horizontal="center"/>
    </xf>
    <xf numFmtId="0" fontId="12" fillId="0" borderId="22" xfId="0" applyFont="1" applyBorder="1" applyAlignment="1">
      <alignment horizontal="center"/>
    </xf>
    <xf numFmtId="0" fontId="12" fillId="0" borderId="38" xfId="0" applyFont="1" applyBorder="1" applyAlignment="1">
      <alignment horizontal="center"/>
    </xf>
    <xf numFmtId="0" fontId="27" fillId="0" borderId="0" xfId="0" applyFont="1" applyAlignment="1">
      <alignment horizontal="center"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0" xfId="0" applyFont="1" applyBorder="1" applyAlignment="1">
      <alignment horizontal="center" wrapText="1"/>
    </xf>
    <xf numFmtId="0" fontId="12" fillId="10" borderId="57" xfId="0" applyFont="1" applyFill="1" applyBorder="1" applyAlignment="1">
      <alignment horizontal="center"/>
    </xf>
    <xf numFmtId="0" fontId="12" fillId="10" borderId="58" xfId="0" applyFont="1" applyFill="1" applyBorder="1" applyAlignment="1">
      <alignment horizontal="center"/>
    </xf>
    <xf numFmtId="0" fontId="12" fillId="10" borderId="59" xfId="0" applyFont="1" applyFill="1" applyBorder="1" applyAlignment="1">
      <alignment horizontal="center"/>
    </xf>
    <xf numFmtId="0" fontId="12" fillId="0" borderId="39" xfId="0" applyFont="1" applyBorder="1" applyAlignment="1">
      <alignment wrapText="1"/>
    </xf>
    <xf numFmtId="0" fontId="12" fillId="0" borderId="0" xfId="0" applyFont="1" applyBorder="1" applyAlignment="1">
      <alignment wrapText="1"/>
    </xf>
    <xf numFmtId="0" fontId="12" fillId="0" borderId="2" xfId="0" applyFont="1" applyBorder="1" applyAlignment="1">
      <alignment horizontal="center"/>
    </xf>
    <xf numFmtId="0" fontId="12" fillId="0" borderId="3" xfId="0" applyFont="1" applyBorder="1" applyAlignment="1">
      <alignment horizontal="center"/>
    </xf>
    <xf numFmtId="0" fontId="13" fillId="0" borderId="0" xfId="0" applyFont="1" applyBorder="1" applyAlignment="1">
      <alignment horizontal="center"/>
    </xf>
    <xf numFmtId="0" fontId="18" fillId="0" borderId="0" xfId="0" applyFont="1" applyFill="1" applyBorder="1" applyAlignment="1">
      <alignment horizontal="center"/>
    </xf>
    <xf numFmtId="0" fontId="10" fillId="0" borderId="0" xfId="0" applyFont="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12" fillId="0" borderId="65" xfId="0" applyFont="1" applyBorder="1" applyAlignment="1">
      <alignment horizontal="center"/>
    </xf>
    <xf numFmtId="0" fontId="12" fillId="0" borderId="66" xfId="0" applyFont="1" applyBorder="1" applyAlignment="1">
      <alignment horizontal="center"/>
    </xf>
    <xf numFmtId="0" fontId="12" fillId="0" borderId="67" xfId="0" applyFont="1" applyBorder="1" applyAlignment="1">
      <alignment horizontal="center"/>
    </xf>
    <xf numFmtId="0" fontId="59" fillId="0" borderId="75" xfId="0" applyFont="1" applyBorder="1" applyAlignment="1">
      <alignment horizontal="center" vertical="center" wrapText="1"/>
    </xf>
    <xf numFmtId="0" fontId="59" fillId="0" borderId="72" xfId="0" applyFont="1" applyBorder="1" applyAlignment="1">
      <alignment horizontal="center" vertical="center" wrapText="1"/>
    </xf>
    <xf numFmtId="0" fontId="54" fillId="0" borderId="0" xfId="0" applyFont="1" applyAlignment="1">
      <alignment horizontal="left" vertical="center" wrapText="1"/>
    </xf>
    <xf numFmtId="0" fontId="59" fillId="0" borderId="73" xfId="0" applyFont="1" applyBorder="1" applyAlignment="1">
      <alignment horizontal="center" vertical="center" wrapText="1"/>
    </xf>
    <xf numFmtId="0" fontId="59" fillId="0" borderId="75" xfId="0" applyFont="1" applyBorder="1" applyAlignment="1">
      <alignment vertical="center" wrapText="1"/>
    </xf>
    <xf numFmtId="0" fontId="59" fillId="0" borderId="72" xfId="0" applyFont="1" applyBorder="1" applyAlignment="1">
      <alignment vertical="center" wrapText="1"/>
    </xf>
    <xf numFmtId="0" fontId="63" fillId="0" borderId="0" xfId="0" applyFont="1" applyAlignment="1">
      <alignment horizontal="left" vertical="center" wrapText="1"/>
    </xf>
    <xf numFmtId="0" fontId="61" fillId="0" borderId="0" xfId="0" applyFont="1" applyAlignment="1">
      <alignment horizontal="left" wrapText="1"/>
    </xf>
  </cellXfs>
  <cellStyles count="179">
    <cellStyle name="Bad 2" xfId="29"/>
    <cellStyle name="Comma" xfId="1" builtinId="3"/>
    <cellStyle name="Comma 10" xfId="57"/>
    <cellStyle name="Comma 10 2" xfId="143"/>
    <cellStyle name="Comma 10 3" xfId="177"/>
    <cellStyle name="Comma 10 4" xfId="100"/>
    <cellStyle name="Comma 2" xfId="12"/>
    <cellStyle name="Comma 2 2" xfId="30"/>
    <cellStyle name="Comma 2 3" xfId="36"/>
    <cellStyle name="Comma 2 3 2" xfId="122"/>
    <cellStyle name="Comma 2 3 3" xfId="79"/>
    <cellStyle name="Comma 2 4" xfId="108"/>
    <cellStyle name="Comma 2 5" xfId="65"/>
    <cellStyle name="Comma 3" xfId="15"/>
    <cellStyle name="Comma 3 2" xfId="43"/>
    <cellStyle name="Comma 3 2 2" xfId="129"/>
    <cellStyle name="Comma 3 2 3" xfId="163"/>
    <cellStyle name="Comma 3 2 4" xfId="86"/>
    <cellStyle name="Comma 3 3" xfId="111"/>
    <cellStyle name="Comma 3 4" xfId="148"/>
    <cellStyle name="Comma 3 5" xfId="68"/>
    <cellStyle name="Comma 4" xfId="17"/>
    <cellStyle name="Comma 5" xfId="19"/>
    <cellStyle name="Comma 5 2" xfId="45"/>
    <cellStyle name="Comma 5 2 2" xfId="131"/>
    <cellStyle name="Comma 5 2 3" xfId="165"/>
    <cellStyle name="Comma 5 2 4" xfId="88"/>
    <cellStyle name="Comma 5 3" xfId="113"/>
    <cellStyle name="Comma 5 4" xfId="150"/>
    <cellStyle name="Comma 5 5" xfId="70"/>
    <cellStyle name="Comma 6" xfId="22"/>
    <cellStyle name="Comma 6 2" xfId="48"/>
    <cellStyle name="Comma 6 2 2" xfId="134"/>
    <cellStyle name="Comma 6 2 3" xfId="168"/>
    <cellStyle name="Comma 6 2 4" xfId="91"/>
    <cellStyle name="Comma 6 3" xfId="116"/>
    <cellStyle name="Comma 6 4" xfId="153"/>
    <cellStyle name="Comma 6 5" xfId="73"/>
    <cellStyle name="Comma 7" xfId="35"/>
    <cellStyle name="Comma 7 2" xfId="52"/>
    <cellStyle name="Comma 7 2 2" xfId="138"/>
    <cellStyle name="Comma 7 2 3" xfId="172"/>
    <cellStyle name="Comma 7 2 4" xfId="95"/>
    <cellStyle name="Comma 7 3" xfId="121"/>
    <cellStyle name="Comma 7 4" xfId="157"/>
    <cellStyle name="Comma 7 5" xfId="78"/>
    <cellStyle name="Comma 8" xfId="39"/>
    <cellStyle name="Comma 8 2" xfId="54"/>
    <cellStyle name="Comma 8 2 2" xfId="140"/>
    <cellStyle name="Comma 8 2 3" xfId="174"/>
    <cellStyle name="Comma 8 2 4" xfId="97"/>
    <cellStyle name="Comma 8 3" xfId="125"/>
    <cellStyle name="Comma 8 4" xfId="159"/>
    <cellStyle name="Comma 8 5" xfId="82"/>
    <cellStyle name="Comma 9" xfId="5"/>
    <cellStyle name="Comma 9 2" xfId="103"/>
    <cellStyle name="Comma 9 3" xfId="60"/>
    <cellStyle name="Currency" xfId="3" builtinId="4"/>
    <cellStyle name="Currency 2" xfId="14"/>
    <cellStyle name="Currency 2 2" xfId="42"/>
    <cellStyle name="Currency 2 2 2" xfId="128"/>
    <cellStyle name="Currency 2 2 3" xfId="162"/>
    <cellStyle name="Currency 2 2 4" xfId="85"/>
    <cellStyle name="Currency 2 3" xfId="110"/>
    <cellStyle name="Currency 2 4" xfId="147"/>
    <cellStyle name="Currency 2 5" xfId="67"/>
    <cellStyle name="Currency 3" xfId="31"/>
    <cellStyle name="Currency 4" xfId="32"/>
    <cellStyle name="Currency 4 2" xfId="51"/>
    <cellStyle name="Currency 4 2 2" xfId="137"/>
    <cellStyle name="Currency 4 2 3" xfId="171"/>
    <cellStyle name="Currency 4 2 4" xfId="94"/>
    <cellStyle name="Currency 4 3" xfId="120"/>
    <cellStyle name="Currency 4 4" xfId="156"/>
    <cellStyle name="Currency 4 5" xfId="77"/>
    <cellStyle name="Currency 5" xfId="6"/>
    <cellStyle name="Currency 5 2" xfId="104"/>
    <cellStyle name="Currency 5 3" xfId="61"/>
    <cellStyle name="Currency 6" xfId="58"/>
    <cellStyle name="Currency 6 2" xfId="144"/>
    <cellStyle name="Currency 6 3" xfId="178"/>
    <cellStyle name="Currency 6 4" xfId="101"/>
    <cellStyle name="Good 2" xfId="28"/>
    <cellStyle name="Hyperlink 2" xfId="9"/>
    <cellStyle name="Hyperlink 3" xfId="25"/>
    <cellStyle name="Hyperlink 4" xfId="7"/>
    <cellStyle name="Normal" xfId="0" builtinId="0"/>
    <cellStyle name="Normal 10" xfId="4"/>
    <cellStyle name="Normal 10 2" xfId="102"/>
    <cellStyle name="Normal 10 3" xfId="59"/>
    <cellStyle name="Normal 11" xfId="55"/>
    <cellStyle name="Normal 11 2" xfId="141"/>
    <cellStyle name="Normal 11 3" xfId="175"/>
    <cellStyle name="Normal 11 4" xfId="98"/>
    <cellStyle name="Normal 2" xfId="10"/>
    <cellStyle name="Normal 2 2" xfId="33"/>
    <cellStyle name="Normal 2 3" xfId="34"/>
    <cellStyle name="Normal 2 4" xfId="40"/>
    <cellStyle name="Normal 2 4 2" xfId="126"/>
    <cellStyle name="Normal 2 4 3" xfId="160"/>
    <cellStyle name="Normal 2 4 4" xfId="83"/>
    <cellStyle name="Normal 2 5" xfId="106"/>
    <cellStyle name="Normal 2 6" xfId="145"/>
    <cellStyle name="Normal 2 7" xfId="63"/>
    <cellStyle name="Normal 3" xfId="11"/>
    <cellStyle name="Normal 3 2" xfId="107"/>
    <cellStyle name="Normal 3 3" xfId="64"/>
    <cellStyle name="Normal 4" xfId="13"/>
    <cellStyle name="Normal 4 2" xfId="23"/>
    <cellStyle name="Normal 4 2 2" xfId="117"/>
    <cellStyle name="Normal 4 2 3" xfId="74"/>
    <cellStyle name="Normal 4 3" xfId="41"/>
    <cellStyle name="Normal 4 3 2" xfId="127"/>
    <cellStyle name="Normal 4 3 3" xfId="161"/>
    <cellStyle name="Normal 4 3 4" xfId="84"/>
    <cellStyle name="Normal 4 4" xfId="109"/>
    <cellStyle name="Normal 4 5" xfId="146"/>
    <cellStyle name="Normal 4 6" xfId="66"/>
    <cellStyle name="Normal 5" xfId="16"/>
    <cellStyle name="Normal 6" xfId="18"/>
    <cellStyle name="Normal 6 2" xfId="44"/>
    <cellStyle name="Normal 6 2 2" xfId="130"/>
    <cellStyle name="Normal 6 2 3" xfId="164"/>
    <cellStyle name="Normal 6 2 4" xfId="87"/>
    <cellStyle name="Normal 6 3" xfId="112"/>
    <cellStyle name="Normal 6 4" xfId="149"/>
    <cellStyle name="Normal 6 5" xfId="69"/>
    <cellStyle name="Normal 7" xfId="21"/>
    <cellStyle name="Normal 7 2" xfId="47"/>
    <cellStyle name="Normal 7 2 2" xfId="133"/>
    <cellStyle name="Normal 7 2 3" xfId="167"/>
    <cellStyle name="Normal 7 2 4" xfId="90"/>
    <cellStyle name="Normal 7 3" xfId="115"/>
    <cellStyle name="Normal 7 4" xfId="152"/>
    <cellStyle name="Normal 7 5" xfId="72"/>
    <cellStyle name="Normal 8" xfId="26"/>
    <cellStyle name="Normal 8 2" xfId="50"/>
    <cellStyle name="Normal 8 2 2" xfId="136"/>
    <cellStyle name="Normal 8 2 3" xfId="170"/>
    <cellStyle name="Normal 8 2 4" xfId="93"/>
    <cellStyle name="Normal 8 3" xfId="119"/>
    <cellStyle name="Normal 8 4" xfId="155"/>
    <cellStyle name="Normal 8 5" xfId="76"/>
    <cellStyle name="Normal 9" xfId="38"/>
    <cellStyle name="Normal 9 2" xfId="53"/>
    <cellStyle name="Normal 9 2 2" xfId="139"/>
    <cellStyle name="Normal 9 2 3" xfId="173"/>
    <cellStyle name="Normal 9 2 4" xfId="96"/>
    <cellStyle name="Normal 9 3" xfId="124"/>
    <cellStyle name="Normal 9 4" xfId="158"/>
    <cellStyle name="Normal 9 5" xfId="81"/>
    <cellStyle name="Note 2" xfId="24"/>
    <cellStyle name="Note 2 2" xfId="49"/>
    <cellStyle name="Note 2 2 2" xfId="135"/>
    <cellStyle name="Note 2 2 3" xfId="169"/>
    <cellStyle name="Note 2 2 4" xfId="92"/>
    <cellStyle name="Note 2 3" xfId="118"/>
    <cellStyle name="Note 2 4" xfId="154"/>
    <cellStyle name="Note 2 5" xfId="75"/>
    <cellStyle name="Percent" xfId="2" builtinId="5"/>
    <cellStyle name="Percent 2" xfId="20"/>
    <cellStyle name="Percent 2 2" xfId="46"/>
    <cellStyle name="Percent 2 2 2" xfId="132"/>
    <cellStyle name="Percent 2 2 3" xfId="166"/>
    <cellStyle name="Percent 2 2 4" xfId="89"/>
    <cellStyle name="Percent 2 3" xfId="114"/>
    <cellStyle name="Percent 2 4" xfId="151"/>
    <cellStyle name="Percent 2 5" xfId="71"/>
    <cellStyle name="Percent 3" xfId="27"/>
    <cellStyle name="Percent 3 2" xfId="37"/>
    <cellStyle name="Percent 3 2 2" xfId="123"/>
    <cellStyle name="Percent 3 2 3" xfId="80"/>
    <cellStyle name="Percent 4" xfId="8"/>
    <cellStyle name="Percent 4 2" xfId="105"/>
    <cellStyle name="Percent 4 3" xfId="62"/>
    <cellStyle name="Percent 5" xfId="56"/>
    <cellStyle name="Percent 5 2" xfId="142"/>
    <cellStyle name="Percent 5 3" xfId="176"/>
    <cellStyle name="Percent 5 4" xfId="99"/>
  </cellStyles>
  <dxfs count="1">
    <dxf>
      <font>
        <b val="0"/>
        <i val="0"/>
        <color theme="0" tint="-0.14996795556505021"/>
      </font>
    </dxf>
  </dxfs>
  <tableStyles count="0" defaultTableStyle="TableStyleMedium9" defaultPivotStyle="PivotStyleLight16"/>
  <colors>
    <mruColors>
      <color rgb="FFFFFFCC"/>
      <color rgb="FFC4D79B"/>
      <color rgb="FFFCD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847725</xdr:colOff>
          <xdr:row>34</xdr:row>
          <xdr:rowOff>0</xdr:rowOff>
        </xdr:to>
        <xdr:sp macro="" textlink="">
          <xdr:nvSpPr>
            <xdr:cNvPr id="30771" name="Enrollment Mgmt Confirmation" hidden="1">
              <a:extLst>
                <a:ext uri="{63B3BB69-23CF-44E3-9099-C40C66FF867C}">
                  <a14:compatExt spid="_x0000_s3077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323850</xdr:colOff>
      <xdr:row>137</xdr:row>
      <xdr:rowOff>0</xdr:rowOff>
    </xdr:from>
    <xdr:to>
      <xdr:col>17</xdr:col>
      <xdr:colOff>323850</xdr:colOff>
      <xdr:row>137</xdr:row>
      <xdr:rowOff>180975</xdr:rowOff>
    </xdr:to>
    <xdr:cxnSp macro="">
      <xdr:nvCxnSpPr>
        <xdr:cNvPr id="2" name="Straight Arrow Connector 1"/>
        <xdr:cNvCxnSpPr/>
      </xdr:nvCxnSpPr>
      <xdr:spPr>
        <a:xfrm>
          <a:off x="12239625" y="20526375"/>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V76"/>
  <sheetViews>
    <sheetView tabSelected="1" topLeftCell="C1" zoomScaleNormal="100" workbookViewId="0">
      <selection activeCell="E6" sqref="E6"/>
    </sheetView>
  </sheetViews>
  <sheetFormatPr defaultRowHeight="12.75" x14ac:dyDescent="0.2"/>
  <cols>
    <col min="1" max="1" width="9.140625" style="305"/>
    <col min="2" max="2" width="13" style="305" customWidth="1"/>
    <col min="3" max="3" width="34.28515625" style="305" customWidth="1"/>
    <col min="4" max="4" width="13.5703125" style="305" customWidth="1"/>
    <col min="5" max="5" width="16" style="305" customWidth="1"/>
    <col min="6" max="6" width="15.28515625" style="305" customWidth="1"/>
    <col min="7" max="7" width="16.5703125" style="305" customWidth="1"/>
    <col min="8" max="8" width="13.7109375" style="305" customWidth="1"/>
    <col min="9" max="9" width="14" style="305" customWidth="1"/>
    <col min="10" max="10" width="12.28515625" style="305" customWidth="1"/>
    <col min="11" max="11" width="15.5703125" style="305" customWidth="1"/>
    <col min="12" max="13" width="11.140625" style="305" customWidth="1"/>
    <col min="14" max="16384" width="9.140625" style="305"/>
  </cols>
  <sheetData>
    <row r="1" spans="1:18" ht="34.5" customHeight="1" x14ac:dyDescent="0.3">
      <c r="A1" s="448" t="s">
        <v>204</v>
      </c>
      <c r="B1" s="449"/>
      <c r="C1" s="449"/>
      <c r="D1" s="449"/>
      <c r="E1" s="449"/>
      <c r="F1" s="449"/>
      <c r="G1" s="449"/>
      <c r="H1" s="449"/>
      <c r="I1" s="449"/>
      <c r="J1" s="449"/>
      <c r="K1" s="449"/>
      <c r="L1" s="449"/>
      <c r="M1" s="449"/>
      <c r="N1" s="449"/>
      <c r="O1" s="449"/>
      <c r="P1" s="304"/>
    </row>
    <row r="2" spans="1:18" s="403" customFormat="1" ht="18.75" x14ac:dyDescent="0.3">
      <c r="A2" s="450" t="s">
        <v>289</v>
      </c>
      <c r="B2" s="450"/>
      <c r="C2" s="450"/>
      <c r="D2" s="450"/>
      <c r="E2" s="450"/>
      <c r="F2" s="450"/>
      <c r="G2" s="450"/>
      <c r="H2" s="450"/>
      <c r="I2" s="450"/>
      <c r="J2" s="450"/>
      <c r="K2" s="450"/>
      <c r="L2" s="450"/>
      <c r="M2" s="450"/>
      <c r="N2" s="450"/>
      <c r="O2" s="450"/>
      <c r="P2" s="402"/>
    </row>
    <row r="3" spans="1:18" s="403" customFormat="1" ht="18.75" x14ac:dyDescent="0.3">
      <c r="A3" s="468" t="s">
        <v>288</v>
      </c>
      <c r="B3" s="468"/>
      <c r="C3" s="468"/>
      <c r="D3" s="468"/>
      <c r="E3" s="468"/>
      <c r="F3" s="468"/>
      <c r="G3" s="468"/>
      <c r="H3" s="468"/>
      <c r="I3" s="468"/>
      <c r="J3" s="468"/>
      <c r="K3" s="468"/>
      <c r="L3" s="468"/>
      <c r="M3" s="468"/>
      <c r="N3" s="468"/>
      <c r="O3" s="468"/>
      <c r="P3" s="402"/>
    </row>
    <row r="4" spans="1:18" ht="18.75" x14ac:dyDescent="0.3">
      <c r="A4" s="454" t="s">
        <v>20</v>
      </c>
      <c r="B4" s="454"/>
      <c r="C4" s="454"/>
      <c r="D4" s="454"/>
      <c r="E4" s="454"/>
      <c r="F4" s="454"/>
      <c r="G4" s="454"/>
      <c r="H4" s="454"/>
      <c r="I4" s="454"/>
      <c r="J4" s="454"/>
      <c r="K4" s="454"/>
      <c r="L4" s="454"/>
      <c r="M4" s="454"/>
      <c r="N4" s="454"/>
      <c r="O4" s="454"/>
      <c r="P4" s="304"/>
    </row>
    <row r="5" spans="1:18" ht="18.75" x14ac:dyDescent="0.3">
      <c r="A5" s="450" t="s">
        <v>273</v>
      </c>
      <c r="B5" s="450"/>
      <c r="C5" s="450"/>
      <c r="D5" s="450"/>
      <c r="E5" s="450"/>
      <c r="F5" s="450"/>
      <c r="G5" s="450"/>
      <c r="H5" s="450"/>
      <c r="I5" s="450"/>
      <c r="J5" s="450"/>
      <c r="K5" s="450"/>
      <c r="L5" s="450"/>
      <c r="M5" s="450"/>
      <c r="N5" s="450"/>
      <c r="O5" s="450"/>
      <c r="P5" s="306"/>
    </row>
    <row r="6" spans="1:18" ht="18.75" x14ac:dyDescent="0.3">
      <c r="A6" s="307" t="s">
        <v>215</v>
      </c>
      <c r="B6" s="304"/>
      <c r="C6" s="304"/>
      <c r="D6" s="308"/>
      <c r="E6" s="256">
        <v>2019</v>
      </c>
      <c r="F6" s="304"/>
      <c r="G6" s="304"/>
      <c r="H6" s="309"/>
      <c r="I6" s="304"/>
      <c r="J6" s="304"/>
      <c r="K6" s="304"/>
      <c r="L6" s="304"/>
      <c r="M6" s="304"/>
      <c r="N6" s="304"/>
      <c r="O6" s="304"/>
    </row>
    <row r="7" spans="1:18" ht="21.75" thickBot="1" x14ac:dyDescent="0.4">
      <c r="A7" s="310" t="s">
        <v>116</v>
      </c>
      <c r="C7" s="311"/>
      <c r="D7" s="312"/>
      <c r="E7" s="312"/>
      <c r="F7" s="312"/>
      <c r="G7" s="312"/>
      <c r="H7" s="312"/>
      <c r="I7" s="312"/>
      <c r="J7" s="312"/>
      <c r="K7" s="312"/>
      <c r="L7" s="312"/>
      <c r="M7" s="312"/>
      <c r="N7" s="312"/>
      <c r="O7" s="312"/>
      <c r="P7" s="312"/>
      <c r="Q7" s="312"/>
      <c r="R7" s="312"/>
    </row>
    <row r="8" spans="1:18" ht="16.5" thickTop="1" x14ac:dyDescent="0.25">
      <c r="B8" s="312"/>
      <c r="C8" s="313" t="s">
        <v>43</v>
      </c>
      <c r="E8" s="257"/>
      <c r="F8" s="312"/>
      <c r="G8" s="312"/>
      <c r="H8" s="312"/>
      <c r="I8" s="312"/>
      <c r="J8" s="312"/>
      <c r="K8" s="312"/>
      <c r="L8" s="312"/>
      <c r="M8" s="312"/>
      <c r="N8" s="312"/>
      <c r="O8" s="312"/>
      <c r="P8" s="312"/>
      <c r="Q8" s="312"/>
      <c r="R8" s="312"/>
    </row>
    <row r="9" spans="1:18" ht="15.75" x14ac:dyDescent="0.25">
      <c r="B9" s="312"/>
      <c r="C9" s="314" t="s">
        <v>18</v>
      </c>
      <c r="D9" s="451"/>
      <c r="E9" s="452"/>
      <c r="F9" s="452"/>
      <c r="G9" s="453"/>
      <c r="H9" s="304"/>
      <c r="I9" s="309"/>
      <c r="J9" s="304"/>
      <c r="K9" s="304"/>
      <c r="L9" s="304"/>
      <c r="M9" s="304"/>
      <c r="N9" s="304"/>
      <c r="O9" s="304"/>
      <c r="P9" s="304"/>
      <c r="Q9" s="304"/>
      <c r="R9" s="304"/>
    </row>
    <row r="10" spans="1:18" s="308" customFormat="1" ht="9.75" customHeight="1" x14ac:dyDescent="0.25">
      <c r="C10" s="315"/>
      <c r="N10" s="304"/>
    </row>
    <row r="11" spans="1:18" ht="15.75" x14ac:dyDescent="0.25">
      <c r="A11" s="316"/>
      <c r="C11" s="315"/>
      <c r="D11" s="308"/>
      <c r="E11" s="317" t="s">
        <v>87</v>
      </c>
      <c r="F11" s="317" t="s">
        <v>86</v>
      </c>
      <c r="G11" s="317" t="s">
        <v>89</v>
      </c>
      <c r="H11" s="317" t="s">
        <v>88</v>
      </c>
      <c r="I11" s="317" t="s">
        <v>85</v>
      </c>
      <c r="J11" s="318" t="s">
        <v>84</v>
      </c>
      <c r="K11" s="319" t="s">
        <v>82</v>
      </c>
      <c r="L11" s="320" t="s">
        <v>107</v>
      </c>
      <c r="M11" s="319" t="s">
        <v>83</v>
      </c>
      <c r="N11" s="304"/>
      <c r="O11" s="321"/>
    </row>
    <row r="12" spans="1:18" ht="15.75" x14ac:dyDescent="0.25">
      <c r="A12" s="322"/>
      <c r="B12" s="304"/>
      <c r="C12" s="443" t="s">
        <v>194</v>
      </c>
      <c r="D12" s="444"/>
      <c r="E12" s="258"/>
      <c r="F12" s="259"/>
      <c r="G12" s="259"/>
      <c r="H12" s="259"/>
      <c r="I12" s="259"/>
      <c r="J12" s="259"/>
      <c r="K12" s="259"/>
      <c r="L12" s="259"/>
      <c r="M12" s="259"/>
      <c r="N12" s="304"/>
      <c r="O12" s="321"/>
    </row>
    <row r="14" spans="1:18" s="308" customFormat="1" ht="15.75" x14ac:dyDescent="0.25">
      <c r="C14" s="315" t="s">
        <v>153</v>
      </c>
      <c r="E14" s="461" t="s">
        <v>282</v>
      </c>
      <c r="F14" s="462"/>
      <c r="G14" s="463"/>
      <c r="H14" s="404" t="str">
        <f>IF(E14='developer tab'!B13,'developer tab'!E13,IF(E14='developer tab'!B12,'developer tab'!E12,IF(E14='developer tab'!B11,'developer tab'!E11,IF(E14='developer tab'!B10,'developer tab'!E10,IF(E14='developer tab'!B9,'developer tab'!E9,IF(E14='developer tab'!B8,'developer tab'!E8,'developer tab'!E7))))))</f>
        <v>UG</v>
      </c>
    </row>
    <row r="15" spans="1:18" s="308" customFormat="1" ht="15.75" x14ac:dyDescent="0.25">
      <c r="C15" s="315"/>
      <c r="H15" s="323"/>
    </row>
    <row r="16" spans="1:18" s="308" customFormat="1" ht="15.75" x14ac:dyDescent="0.25">
      <c r="C16" s="315"/>
      <c r="E16" s="324">
        <f>+INPUT!E6</f>
        <v>2019</v>
      </c>
      <c r="F16" s="325">
        <f>+E16+1</f>
        <v>2020</v>
      </c>
      <c r="G16" s="325">
        <f>+F16+1</f>
        <v>2021</v>
      </c>
      <c r="H16" s="325">
        <f>+G16+1</f>
        <v>2022</v>
      </c>
      <c r="I16" s="325">
        <f>+H16+1</f>
        <v>2023</v>
      </c>
      <c r="J16" s="326">
        <f>+I16+1</f>
        <v>2024</v>
      </c>
      <c r="K16" s="324" t="s">
        <v>19</v>
      </c>
    </row>
    <row r="17" spans="2:18" s="308" customFormat="1" ht="15.75" x14ac:dyDescent="0.25">
      <c r="C17" s="315" t="s">
        <v>154</v>
      </c>
      <c r="E17" s="272">
        <f>VLOOKUP($E$14,MaskTable,'Intermediate Calcs'!J13)</f>
        <v>30</v>
      </c>
      <c r="F17" s="273">
        <f>VLOOKUP($E$14,MaskTable,'Intermediate Calcs'!K13)</f>
        <v>33</v>
      </c>
      <c r="G17" s="273">
        <f>VLOOKUP($E$14,MaskTable,'Intermediate Calcs'!L13)</f>
        <v>30</v>
      </c>
      <c r="H17" s="273">
        <f>VLOOKUP($E$14,MaskTable,'Intermediate Calcs'!M13)</f>
        <v>30</v>
      </c>
      <c r="I17" s="273">
        <f>VLOOKUP($E$14,MaskTable,'Intermediate Calcs'!N13)</f>
        <v>0</v>
      </c>
      <c r="J17" s="273">
        <f>VLOOKUP($E$14,MaskTable,'Intermediate Calcs'!O13)</f>
        <v>0</v>
      </c>
      <c r="K17" s="272">
        <f>SUM(E17:J17)</f>
        <v>123</v>
      </c>
    </row>
    <row r="18" spans="2:18" s="308" customFormat="1" ht="30.75" customHeight="1" x14ac:dyDescent="0.25">
      <c r="C18" s="459" t="s">
        <v>189</v>
      </c>
      <c r="D18" s="460"/>
      <c r="E18" s="260"/>
      <c r="F18" s="261"/>
      <c r="G18" s="261"/>
      <c r="H18" s="261"/>
      <c r="I18" s="261"/>
      <c r="J18" s="261"/>
      <c r="K18" s="274">
        <f>SUM(E18:J18)</f>
        <v>0</v>
      </c>
      <c r="L18" s="464" t="s">
        <v>190</v>
      </c>
      <c r="M18" s="465"/>
      <c r="N18" s="465"/>
      <c r="O18" s="465"/>
      <c r="P18" s="466"/>
    </row>
    <row r="19" spans="2:18" s="308" customFormat="1" ht="15.75" x14ac:dyDescent="0.25">
      <c r="C19" s="315" t="s">
        <v>155</v>
      </c>
      <c r="E19" s="273">
        <f t="shared" ref="E19:J19" si="0">E17+E18</f>
        <v>30</v>
      </c>
      <c r="F19" s="273">
        <f t="shared" si="0"/>
        <v>33</v>
      </c>
      <c r="G19" s="273">
        <f t="shared" si="0"/>
        <v>30</v>
      </c>
      <c r="H19" s="273">
        <f t="shared" si="0"/>
        <v>30</v>
      </c>
      <c r="I19" s="273">
        <f t="shared" si="0"/>
        <v>0</v>
      </c>
      <c r="J19" s="273">
        <f t="shared" si="0"/>
        <v>0</v>
      </c>
      <c r="K19" s="273">
        <f>SUM(E19:J19)</f>
        <v>123</v>
      </c>
    </row>
    <row r="20" spans="2:18" s="308" customFormat="1" ht="10.5" customHeight="1" x14ac:dyDescent="0.25">
      <c r="C20" s="315"/>
    </row>
    <row r="21" spans="2:18" s="308" customFormat="1" ht="30" x14ac:dyDescent="0.25">
      <c r="C21" s="327" t="s">
        <v>156</v>
      </c>
      <c r="E21" s="328" t="s">
        <v>157</v>
      </c>
      <c r="F21" s="328" t="s">
        <v>158</v>
      </c>
      <c r="G21" s="328" t="s">
        <v>159</v>
      </c>
      <c r="H21" s="271" t="s">
        <v>160</v>
      </c>
      <c r="L21" s="329"/>
      <c r="M21" s="329"/>
      <c r="N21" s="329"/>
      <c r="O21" s="329"/>
      <c r="P21" s="329"/>
    </row>
    <row r="22" spans="2:18" s="308" customFormat="1" ht="15" customHeight="1" x14ac:dyDescent="0.25">
      <c r="B22" s="308">
        <v>1</v>
      </c>
      <c r="C22" s="330" t="s">
        <v>161</v>
      </c>
      <c r="E22" s="262">
        <v>0.94</v>
      </c>
      <c r="F22" s="275">
        <f>E22^(G22-1)</f>
        <v>0.83058399999999988</v>
      </c>
      <c r="G22" s="276">
        <f>ROUND(VLOOKUP(E14,MaskTable,'Intermediate Calcs'!H13,FALSE),0)</f>
        <v>4</v>
      </c>
      <c r="H22" s="331"/>
      <c r="I22" s="332"/>
      <c r="J22" s="332"/>
      <c r="K22" s="332"/>
      <c r="L22" s="333"/>
      <c r="M22" s="329"/>
      <c r="N22" s="329"/>
      <c r="O22" s="329"/>
      <c r="P22" s="329"/>
    </row>
    <row r="23" spans="2:18" s="308" customFormat="1" ht="15" customHeight="1" x14ac:dyDescent="0.25">
      <c r="B23" s="308">
        <v>2</v>
      </c>
      <c r="C23" s="330" t="s">
        <v>162</v>
      </c>
      <c r="E23" s="263">
        <v>0.94</v>
      </c>
      <c r="F23" s="275">
        <f>E23^(G23-1)</f>
        <v>0.53861511409489959</v>
      </c>
      <c r="G23" s="276">
        <f>IF(H23=0,99,IF(E24="No",ROUNDUP(K19/H23/2,0),(ROUNDUP(K19/H23/2.5,0))))</f>
        <v>11</v>
      </c>
      <c r="H23" s="264">
        <v>6</v>
      </c>
      <c r="I23" s="332"/>
      <c r="J23" s="332"/>
      <c r="K23" s="332"/>
      <c r="L23" s="333"/>
      <c r="M23" s="329"/>
      <c r="N23" s="329"/>
      <c r="O23" s="329"/>
      <c r="P23" s="329"/>
    </row>
    <row r="24" spans="2:18" s="308" customFormat="1" ht="15" customHeight="1" x14ac:dyDescent="0.25">
      <c r="C24" s="330" t="s">
        <v>199</v>
      </c>
      <c r="E24" s="265" t="s">
        <v>200</v>
      </c>
      <c r="F24" s="332"/>
      <c r="G24" s="332"/>
      <c r="H24" s="332"/>
      <c r="I24" s="332"/>
      <c r="O24" s="329"/>
      <c r="P24" s="329"/>
    </row>
    <row r="25" spans="2:18" s="308" customFormat="1" ht="12" customHeight="1" x14ac:dyDescent="0.25">
      <c r="C25" s="330"/>
      <c r="F25" s="332"/>
      <c r="G25" s="332"/>
      <c r="H25" s="332"/>
      <c r="I25" s="332"/>
      <c r="J25" s="332"/>
      <c r="K25" s="329"/>
      <c r="L25" s="333"/>
      <c r="M25" s="329"/>
      <c r="N25" s="329"/>
      <c r="O25" s="329"/>
      <c r="P25" s="329"/>
    </row>
    <row r="26" spans="2:18" s="308" customFormat="1" ht="15.75" customHeight="1" thickBot="1" x14ac:dyDescent="0.3">
      <c r="C26" s="315"/>
      <c r="E26" s="324" t="s">
        <v>19</v>
      </c>
      <c r="I26" s="329"/>
      <c r="J26" s="329"/>
      <c r="K26" s="329"/>
    </row>
    <row r="27" spans="2:18" s="308" customFormat="1" ht="47.25" customHeight="1" thickBot="1" x14ac:dyDescent="0.3">
      <c r="C27" s="457" t="s">
        <v>222</v>
      </c>
      <c r="D27" s="458"/>
      <c r="E27" s="266"/>
      <c r="F27" s="455" t="s">
        <v>274</v>
      </c>
      <c r="G27" s="456"/>
      <c r="H27" s="456"/>
      <c r="I27" s="456"/>
      <c r="J27" s="456"/>
      <c r="K27" s="302">
        <f>+E27/K19</f>
        <v>0</v>
      </c>
    </row>
    <row r="28" spans="2:18" s="308" customFormat="1" ht="15.75" customHeight="1" x14ac:dyDescent="0.25">
      <c r="C28" s="315"/>
      <c r="O28" s="329"/>
      <c r="P28" s="329"/>
      <c r="Q28" s="329"/>
    </row>
    <row r="29" spans="2:18" s="308" customFormat="1" ht="15.75" x14ac:dyDescent="0.25">
      <c r="C29" s="334" t="s">
        <v>218</v>
      </c>
      <c r="E29" s="335">
        <f>+E16</f>
        <v>2019</v>
      </c>
      <c r="F29" s="335">
        <f>+F16</f>
        <v>2020</v>
      </c>
      <c r="G29" s="335">
        <f>+G16</f>
        <v>2021</v>
      </c>
      <c r="H29" s="335">
        <f>+H16</f>
        <v>2022</v>
      </c>
      <c r="I29" s="335">
        <f>+I16</f>
        <v>2023</v>
      </c>
      <c r="J29" s="273"/>
      <c r="K29" s="273"/>
      <c r="L29" s="273"/>
      <c r="M29" s="273"/>
      <c r="N29" s="336"/>
      <c r="O29" s="329"/>
      <c r="P29" s="329"/>
      <c r="Q29" s="329"/>
      <c r="R29" s="329"/>
    </row>
    <row r="30" spans="2:18" s="308" customFormat="1" ht="15.75" x14ac:dyDescent="0.25">
      <c r="B30" s="308">
        <v>1</v>
      </c>
      <c r="C30" s="337" t="str">
        <f>INPUT!C22</f>
        <v>Full Time</v>
      </c>
      <c r="E30" s="267"/>
      <c r="F30" s="267"/>
      <c r="G30" s="267"/>
      <c r="H30" s="267"/>
      <c r="I30" s="267"/>
      <c r="J30" s="277">
        <f t="shared" ref="J30:N31" si="1">I30</f>
        <v>0</v>
      </c>
      <c r="K30" s="277">
        <f t="shared" si="1"/>
        <v>0</v>
      </c>
      <c r="L30" s="277">
        <f t="shared" si="1"/>
        <v>0</v>
      </c>
      <c r="M30" s="278">
        <f t="shared" si="1"/>
        <v>0</v>
      </c>
      <c r="N30" s="279">
        <f t="shared" si="1"/>
        <v>0</v>
      </c>
      <c r="O30" s="329"/>
      <c r="P30" s="329"/>
      <c r="Q30" s="329"/>
      <c r="R30" s="329"/>
    </row>
    <row r="31" spans="2:18" s="308" customFormat="1" ht="15.75" x14ac:dyDescent="0.25">
      <c r="B31" s="308">
        <v>2</v>
      </c>
      <c r="C31" s="337" t="str">
        <f>INPUT!C23</f>
        <v>Part Time</v>
      </c>
      <c r="E31" s="267"/>
      <c r="F31" s="267"/>
      <c r="G31" s="267"/>
      <c r="H31" s="267"/>
      <c r="I31" s="267"/>
      <c r="J31" s="277">
        <f t="shared" si="1"/>
        <v>0</v>
      </c>
      <c r="K31" s="277">
        <f t="shared" si="1"/>
        <v>0</v>
      </c>
      <c r="L31" s="277">
        <f t="shared" si="1"/>
        <v>0</v>
      </c>
      <c r="M31" s="278">
        <f t="shared" si="1"/>
        <v>0</v>
      </c>
      <c r="N31" s="279">
        <f t="shared" si="1"/>
        <v>0</v>
      </c>
      <c r="O31" s="329"/>
      <c r="P31" s="329"/>
      <c r="Q31" s="329"/>
      <c r="R31" s="329"/>
    </row>
    <row r="32" spans="2:18" s="308" customFormat="1" ht="15.75" x14ac:dyDescent="0.25">
      <c r="C32" s="315"/>
      <c r="D32" s="338" t="s">
        <v>19</v>
      </c>
      <c r="E32" s="280">
        <f t="shared" ref="E32:N32" si="2">SUM(E30:E31)</f>
        <v>0</v>
      </c>
      <c r="F32" s="280">
        <f t="shared" si="2"/>
        <v>0</v>
      </c>
      <c r="G32" s="280">
        <f t="shared" si="2"/>
        <v>0</v>
      </c>
      <c r="H32" s="280">
        <f t="shared" si="2"/>
        <v>0</v>
      </c>
      <c r="I32" s="280">
        <f t="shared" si="2"/>
        <v>0</v>
      </c>
      <c r="J32" s="280">
        <f t="shared" si="2"/>
        <v>0</v>
      </c>
      <c r="K32" s="280">
        <f t="shared" si="2"/>
        <v>0</v>
      </c>
      <c r="L32" s="280">
        <f t="shared" si="2"/>
        <v>0</v>
      </c>
      <c r="M32" s="280">
        <f t="shared" si="2"/>
        <v>0</v>
      </c>
      <c r="N32" s="281">
        <f t="shared" si="2"/>
        <v>0</v>
      </c>
      <c r="O32" s="329"/>
      <c r="P32" s="329"/>
      <c r="Q32" s="329"/>
      <c r="R32" s="329"/>
    </row>
    <row r="33" spans="1:22" s="308" customFormat="1" ht="16.5" thickBot="1" x14ac:dyDescent="0.3">
      <c r="C33" s="315"/>
      <c r="D33" s="405" t="s">
        <v>239</v>
      </c>
      <c r="E33" s="406">
        <f>+'Intermediate Calcs'!E63</f>
        <v>0</v>
      </c>
      <c r="F33" s="406">
        <f ca="1">+'Intermediate Calcs'!F63</f>
        <v>0</v>
      </c>
      <c r="G33" s="406">
        <f ca="1">+'Intermediate Calcs'!G63</f>
        <v>0</v>
      </c>
      <c r="H33" s="406">
        <f ca="1">+'Intermediate Calcs'!H63</f>
        <v>0</v>
      </c>
      <c r="I33" s="406">
        <f ca="1">+'Intermediate Calcs'!I63</f>
        <v>0</v>
      </c>
      <c r="J33" s="406">
        <f ca="1">+'Intermediate Calcs'!J63</f>
        <v>0</v>
      </c>
      <c r="K33" s="406">
        <f ca="1">+'Intermediate Calcs'!K63</f>
        <v>0</v>
      </c>
      <c r="L33" s="406">
        <f ca="1">+'Intermediate Calcs'!L63</f>
        <v>0</v>
      </c>
      <c r="M33" s="406">
        <f ca="1">+'Intermediate Calcs'!M63</f>
        <v>0</v>
      </c>
      <c r="N33" s="407">
        <f ca="1">+'Intermediate Calcs'!N63</f>
        <v>0</v>
      </c>
      <c r="O33" s="329"/>
      <c r="P33" s="329"/>
      <c r="Q33" s="329"/>
      <c r="R33" s="329"/>
    </row>
    <row r="34" spans="1:22" s="308" customFormat="1" ht="16.5" thickBot="1" x14ac:dyDescent="0.3">
      <c r="B34" s="408"/>
      <c r="C34" s="409" t="s">
        <v>276</v>
      </c>
      <c r="D34" s="410"/>
      <c r="E34" s="411"/>
      <c r="F34" s="411"/>
      <c r="G34" s="411"/>
      <c r="H34" s="411"/>
      <c r="I34" s="411"/>
      <c r="J34" s="411"/>
      <c r="K34" s="411"/>
      <c r="L34" s="411"/>
      <c r="M34" s="411"/>
      <c r="N34" s="412"/>
      <c r="O34" s="329"/>
      <c r="P34" s="329"/>
      <c r="Q34" s="329"/>
      <c r="R34" s="329"/>
    </row>
    <row r="35" spans="1:22" ht="21" x14ac:dyDescent="0.35">
      <c r="A35" s="339" t="s">
        <v>132</v>
      </c>
      <c r="B35" s="312"/>
      <c r="C35" s="312"/>
      <c r="D35" s="312"/>
      <c r="E35" s="312"/>
      <c r="F35" s="312"/>
      <c r="G35" s="340"/>
      <c r="H35" s="312"/>
      <c r="I35" s="312"/>
      <c r="J35" s="312"/>
      <c r="K35" s="312"/>
      <c r="L35" s="312"/>
      <c r="M35" s="312"/>
      <c r="N35" s="312"/>
      <c r="O35" s="312"/>
      <c r="P35" s="312"/>
      <c r="Q35" s="312"/>
      <c r="R35" s="308"/>
      <c r="S35" s="308"/>
      <c r="T35" s="308"/>
      <c r="U35" s="308"/>
      <c r="V35" s="308"/>
    </row>
    <row r="36" spans="1:22" ht="16.5" thickBot="1" x14ac:dyDescent="0.3">
      <c r="A36" s="308"/>
      <c r="B36" s="316"/>
      <c r="C36" s="340"/>
      <c r="D36" s="308"/>
      <c r="E36" s="308"/>
      <c r="F36" s="340"/>
      <c r="G36" s="340"/>
      <c r="H36" s="340"/>
      <c r="I36" s="340"/>
      <c r="L36" s="341"/>
      <c r="M36" s="341"/>
      <c r="N36" s="341"/>
      <c r="O36" s="341"/>
      <c r="P36" s="341"/>
      <c r="Q36" s="341"/>
      <c r="R36" s="308"/>
      <c r="S36" s="308"/>
      <c r="T36" s="308"/>
      <c r="U36" s="308"/>
      <c r="V36" s="308"/>
    </row>
    <row r="37" spans="1:22" ht="15.75" customHeight="1" thickBot="1" x14ac:dyDescent="0.3">
      <c r="A37" s="308"/>
      <c r="B37" s="316"/>
      <c r="C37" s="342"/>
      <c r="D37" s="308"/>
      <c r="E37" s="445" t="s">
        <v>129</v>
      </c>
      <c r="F37" s="446"/>
      <c r="G37" s="446"/>
      <c r="H37" s="446"/>
      <c r="I37" s="446"/>
      <c r="J37" s="446"/>
      <c r="K37" s="446"/>
      <c r="L37" s="446"/>
      <c r="M37" s="446"/>
      <c r="N37" s="446"/>
      <c r="O37" s="447"/>
      <c r="P37" s="312"/>
      <c r="Q37" s="312"/>
      <c r="R37" s="308"/>
      <c r="S37" s="308"/>
      <c r="T37" s="308"/>
      <c r="U37" s="308"/>
      <c r="V37" s="308"/>
    </row>
    <row r="38" spans="1:22" ht="13.5" customHeight="1" thickBot="1" x14ac:dyDescent="0.3">
      <c r="A38" s="308"/>
      <c r="B38" s="316"/>
      <c r="C38" s="343" t="s">
        <v>134</v>
      </c>
      <c r="D38" s="308"/>
      <c r="E38" s="344">
        <f>INPUT!$E$6</f>
        <v>2019</v>
      </c>
      <c r="F38" s="345">
        <f>E38+1</f>
        <v>2020</v>
      </c>
      <c r="G38" s="346">
        <f>F38+1</f>
        <v>2021</v>
      </c>
      <c r="H38" s="440" t="s">
        <v>99</v>
      </c>
      <c r="I38" s="441"/>
      <c r="J38" s="441"/>
      <c r="K38" s="441"/>
      <c r="L38" s="441"/>
      <c r="M38" s="441"/>
      <c r="N38" s="441"/>
      <c r="O38" s="442"/>
      <c r="P38" s="312"/>
      <c r="Q38" s="308"/>
    </row>
    <row r="39" spans="1:22" ht="13.5" customHeight="1" x14ac:dyDescent="0.25">
      <c r="B39" s="312"/>
      <c r="C39" s="347" t="s">
        <v>120</v>
      </c>
      <c r="E39" s="268"/>
      <c r="F39" s="178">
        <f>E39*Assumptions!$C$10 + E39</f>
        <v>0</v>
      </c>
      <c r="G39" s="178">
        <f>F39*Assumptions!$D$10+F39</f>
        <v>0</v>
      </c>
      <c r="H39" s="269"/>
      <c r="I39" s="269"/>
      <c r="J39" s="270"/>
      <c r="K39" s="270"/>
      <c r="L39" s="270"/>
      <c r="M39" s="270"/>
      <c r="N39" s="270"/>
      <c r="O39" s="270"/>
      <c r="P39" s="312"/>
      <c r="Q39" s="308"/>
    </row>
    <row r="40" spans="1:22" ht="13.5" customHeight="1" x14ac:dyDescent="0.25">
      <c r="B40" s="312"/>
      <c r="C40" s="347" t="s">
        <v>281</v>
      </c>
      <c r="E40" s="268"/>
      <c r="F40" s="178">
        <f>E40*Assumptions!$C$10 + E40</f>
        <v>0</v>
      </c>
      <c r="G40" s="178">
        <f>F40*Assumptions!$D$10+F40</f>
        <v>0</v>
      </c>
      <c r="H40" s="426"/>
      <c r="I40" s="269"/>
      <c r="J40" s="270"/>
      <c r="K40" s="270"/>
      <c r="L40" s="270"/>
      <c r="M40" s="270"/>
      <c r="N40" s="270"/>
      <c r="O40" s="270"/>
      <c r="P40" s="312"/>
      <c r="Q40" s="308"/>
    </row>
    <row r="41" spans="1:22" ht="13.5" customHeight="1" x14ac:dyDescent="0.25">
      <c r="A41" s="308"/>
      <c r="B41" s="316"/>
      <c r="C41" s="347" t="s">
        <v>115</v>
      </c>
      <c r="D41" s="308"/>
      <c r="E41" s="268"/>
      <c r="F41" s="178">
        <f>E41*Assumptions!$C$10 + E41</f>
        <v>0</v>
      </c>
      <c r="G41" s="178">
        <f>F41*Assumptions!$D$10+F41</f>
        <v>0</v>
      </c>
      <c r="H41" s="426"/>
      <c r="I41" s="269"/>
      <c r="J41" s="270"/>
      <c r="K41" s="270"/>
      <c r="L41" s="270"/>
      <c r="M41" s="270"/>
      <c r="N41" s="270"/>
      <c r="O41" s="270"/>
      <c r="P41" s="312"/>
      <c r="Q41" s="308"/>
    </row>
    <row r="42" spans="1:22" ht="13.5" customHeight="1" x14ac:dyDescent="0.25">
      <c r="A42" s="308"/>
      <c r="B42" s="316"/>
      <c r="C42" s="347" t="s">
        <v>122</v>
      </c>
      <c r="D42" s="308"/>
      <c r="E42" s="268"/>
      <c r="F42" s="178">
        <f>E42*Assumptions!$C$10 + E42</f>
        <v>0</v>
      </c>
      <c r="G42" s="178">
        <f>2*(F42*Assumptions!$D$10+F42)</f>
        <v>0</v>
      </c>
      <c r="H42" s="426"/>
      <c r="I42" s="269"/>
      <c r="J42" s="270"/>
      <c r="K42" s="270"/>
      <c r="L42" s="270"/>
      <c r="M42" s="270"/>
      <c r="N42" s="270"/>
      <c r="O42" s="270"/>
      <c r="P42" s="312"/>
      <c r="Q42" s="308"/>
    </row>
    <row r="43" spans="1:22" ht="13.5" customHeight="1" x14ac:dyDescent="0.25">
      <c r="A43" s="308"/>
      <c r="B43" s="316"/>
      <c r="C43" s="347" t="s">
        <v>216</v>
      </c>
      <c r="D43" s="308"/>
      <c r="E43" s="268"/>
      <c r="F43" s="178">
        <f>E43*Assumptions!$C$10 + E43</f>
        <v>0</v>
      </c>
      <c r="G43" s="178">
        <f>F43*Assumptions!$D$10+F43</f>
        <v>0</v>
      </c>
      <c r="H43" s="426"/>
      <c r="I43" s="269"/>
      <c r="J43" s="270"/>
      <c r="K43" s="270"/>
      <c r="L43" s="270"/>
      <c r="M43" s="270"/>
      <c r="N43" s="270"/>
      <c r="O43" s="270"/>
      <c r="P43" s="312"/>
    </row>
    <row r="44" spans="1:22" ht="13.5" customHeight="1" x14ac:dyDescent="0.25">
      <c r="A44" s="308"/>
      <c r="B44" s="316"/>
      <c r="C44" s="347" t="s">
        <v>125</v>
      </c>
      <c r="D44" s="308"/>
      <c r="E44" s="268"/>
      <c r="F44" s="178">
        <f>E44*Assumptions!$C$10 + E44</f>
        <v>0</v>
      </c>
      <c r="G44" s="178">
        <f>F44*Assumptions!$D$10+F44</f>
        <v>0</v>
      </c>
      <c r="H44" s="426"/>
      <c r="I44" s="269"/>
      <c r="J44" s="270"/>
      <c r="K44" s="270"/>
      <c r="L44" s="270"/>
      <c r="M44" s="270"/>
      <c r="N44" s="270"/>
      <c r="O44" s="270"/>
      <c r="P44" s="312"/>
    </row>
    <row r="45" spans="1:22" ht="13.5" customHeight="1" x14ac:dyDescent="0.25">
      <c r="A45" s="308"/>
      <c r="B45" s="316"/>
      <c r="C45" s="349" t="s">
        <v>124</v>
      </c>
      <c r="D45" s="308"/>
      <c r="E45" s="268"/>
      <c r="F45" s="179">
        <f>E45*Assumptions!$C$10 + E45</f>
        <v>0</v>
      </c>
      <c r="G45" s="179">
        <f>F45*Assumptions!$D$10+F45</f>
        <v>0</v>
      </c>
      <c r="H45" s="426"/>
      <c r="I45" s="269"/>
      <c r="J45" s="270"/>
      <c r="K45" s="270"/>
      <c r="L45" s="270"/>
      <c r="M45" s="270"/>
      <c r="N45" s="270"/>
      <c r="O45" s="270"/>
      <c r="P45" s="312"/>
      <c r="Q45" s="308"/>
    </row>
    <row r="46" spans="1:22" ht="13.5" customHeight="1" x14ac:dyDescent="0.25">
      <c r="A46" s="308"/>
      <c r="B46" s="316"/>
      <c r="C46" s="347" t="s">
        <v>118</v>
      </c>
      <c r="D46" s="308"/>
      <c r="E46" s="268"/>
      <c r="F46" s="178">
        <f>E46*Assumptions!$C$10 + E46</f>
        <v>0</v>
      </c>
      <c r="G46" s="178">
        <f>F46*Assumptions!$D$10+F46</f>
        <v>0</v>
      </c>
      <c r="H46" s="426"/>
      <c r="I46" s="269"/>
      <c r="J46" s="270"/>
      <c r="K46" s="270"/>
      <c r="L46" s="270"/>
      <c r="M46" s="270"/>
      <c r="N46" s="270"/>
      <c r="O46" s="270"/>
      <c r="P46" s="312"/>
      <c r="Q46" s="308"/>
    </row>
    <row r="47" spans="1:22" ht="13.5" customHeight="1" x14ac:dyDescent="0.25">
      <c r="A47" s="308"/>
      <c r="B47" s="316"/>
      <c r="C47" s="351" t="s">
        <v>3</v>
      </c>
      <c r="D47" s="308"/>
      <c r="E47" s="268"/>
      <c r="F47" s="179">
        <f>E47*Assumptions!$C$10 + E47</f>
        <v>0</v>
      </c>
      <c r="G47" s="179">
        <f>F47*Assumptions!$D$10+F47</f>
        <v>0</v>
      </c>
      <c r="H47" s="426"/>
      <c r="I47" s="269"/>
      <c r="J47" s="270"/>
      <c r="K47" s="270"/>
      <c r="L47" s="270"/>
      <c r="M47" s="270"/>
      <c r="N47" s="270"/>
      <c r="O47" s="270"/>
      <c r="P47" s="312"/>
      <c r="Q47" s="308"/>
    </row>
    <row r="48" spans="1:22" ht="13.5" customHeight="1" x14ac:dyDescent="0.25">
      <c r="A48" s="308"/>
      <c r="B48" s="316"/>
      <c r="C48" s="351" t="s">
        <v>123</v>
      </c>
      <c r="D48" s="308"/>
      <c r="E48" s="268"/>
      <c r="F48" s="179">
        <f>E48*Assumptions!$C$10 + E48</f>
        <v>0</v>
      </c>
      <c r="G48" s="178">
        <f>F48*Assumptions!$D$10+F48</f>
        <v>0</v>
      </c>
      <c r="H48" s="426"/>
      <c r="I48" s="269"/>
      <c r="J48" s="270"/>
      <c r="K48" s="270"/>
      <c r="L48" s="270"/>
      <c r="M48" s="270"/>
      <c r="N48" s="270"/>
      <c r="O48" s="270"/>
      <c r="P48" s="312"/>
      <c r="Q48" s="308"/>
    </row>
    <row r="49" spans="1:17" ht="13.5" customHeight="1" x14ac:dyDescent="0.25">
      <c r="A49" s="308"/>
      <c r="B49" s="316"/>
      <c r="C49" s="351" t="s">
        <v>4</v>
      </c>
      <c r="D49" s="308"/>
      <c r="E49" s="268"/>
      <c r="F49" s="178">
        <f>E49*Assumptions!$C$10 + E49</f>
        <v>0</v>
      </c>
      <c r="G49" s="178">
        <f>F49*Assumptions!$D$10+F49</f>
        <v>0</v>
      </c>
      <c r="H49" s="426"/>
      <c r="I49" s="269"/>
      <c r="J49" s="270"/>
      <c r="K49" s="270"/>
      <c r="L49" s="270"/>
      <c r="M49" s="270"/>
      <c r="N49" s="270"/>
      <c r="O49" s="270"/>
      <c r="P49" s="312"/>
      <c r="Q49" s="308"/>
    </row>
    <row r="50" spans="1:17" ht="13.5" customHeight="1" x14ac:dyDescent="0.25">
      <c r="A50" s="308"/>
      <c r="B50" s="316"/>
      <c r="C50" s="351" t="s">
        <v>126</v>
      </c>
      <c r="D50" s="308"/>
      <c r="E50" s="268"/>
      <c r="F50" s="178">
        <v>0</v>
      </c>
      <c r="G50" s="178">
        <v>0</v>
      </c>
      <c r="H50" s="426"/>
      <c r="I50" s="269"/>
      <c r="J50" s="270"/>
      <c r="K50" s="270"/>
      <c r="L50" s="270"/>
      <c r="M50" s="270"/>
      <c r="N50" s="270"/>
      <c r="O50" s="270"/>
      <c r="P50" s="312"/>
      <c r="Q50" s="308"/>
    </row>
    <row r="51" spans="1:17" ht="13.5" customHeight="1" x14ac:dyDescent="0.25">
      <c r="A51" s="308"/>
      <c r="B51" s="316"/>
      <c r="C51" s="351" t="s">
        <v>221</v>
      </c>
      <c r="D51" s="308"/>
      <c r="E51" s="268"/>
      <c r="F51" s="178">
        <f>E51*Assumptions!$C$10 + E51</f>
        <v>0</v>
      </c>
      <c r="G51" s="178">
        <f>F51*Assumptions!$D$10+F51</f>
        <v>0</v>
      </c>
      <c r="H51" s="426"/>
      <c r="I51" s="269"/>
      <c r="J51" s="270"/>
      <c r="K51" s="270"/>
      <c r="L51" s="270"/>
      <c r="M51" s="270"/>
      <c r="N51" s="270"/>
      <c r="O51" s="270"/>
      <c r="P51" s="312"/>
      <c r="Q51" s="308"/>
    </row>
    <row r="52" spans="1:17" ht="13.5" customHeight="1" x14ac:dyDescent="0.25">
      <c r="A52" s="308"/>
      <c r="B52" s="316"/>
      <c r="C52" s="351" t="s">
        <v>6</v>
      </c>
      <c r="D52" s="308"/>
      <c r="E52" s="268"/>
      <c r="F52" s="178">
        <f>E52*Assumptions!$C$10 + E52</f>
        <v>0</v>
      </c>
      <c r="G52" s="178">
        <f>F52*Assumptions!$D$10+F52</f>
        <v>0</v>
      </c>
      <c r="H52" s="426"/>
      <c r="I52" s="269"/>
      <c r="J52" s="270"/>
      <c r="K52" s="270"/>
      <c r="L52" s="270"/>
      <c r="M52" s="270"/>
      <c r="N52" s="270"/>
      <c r="O52" s="270"/>
      <c r="P52" s="312"/>
      <c r="Q52" s="308"/>
    </row>
    <row r="53" spans="1:17" ht="13.5" customHeight="1" x14ac:dyDescent="0.25">
      <c r="A53" s="308"/>
      <c r="B53" s="316"/>
      <c r="C53" s="347" t="s">
        <v>5</v>
      </c>
      <c r="D53" s="308"/>
      <c r="E53" s="268"/>
      <c r="F53" s="178">
        <f>E53*Assumptions!$C$10 + E53</f>
        <v>0</v>
      </c>
      <c r="G53" s="178">
        <f>F53*Assumptions!$D$10+F53</f>
        <v>0</v>
      </c>
      <c r="H53" s="426"/>
      <c r="I53" s="269"/>
      <c r="J53" s="270"/>
      <c r="K53" s="270"/>
      <c r="L53" s="270"/>
      <c r="M53" s="270"/>
      <c r="N53" s="270"/>
      <c r="O53" s="270"/>
      <c r="P53" s="312"/>
      <c r="Q53" s="308"/>
    </row>
    <row r="54" spans="1:17" ht="13.5" customHeight="1" x14ac:dyDescent="0.25">
      <c r="A54" s="308"/>
      <c r="B54" s="316"/>
      <c r="C54" s="347" t="s">
        <v>130</v>
      </c>
      <c r="D54" s="308"/>
      <c r="E54" s="268"/>
      <c r="F54" s="178">
        <f>E54*Assumptions!$C$10 + E54</f>
        <v>0</v>
      </c>
      <c r="G54" s="178">
        <f>F54*Assumptions!$D$10+F54</f>
        <v>0</v>
      </c>
      <c r="H54" s="426"/>
      <c r="I54" s="269"/>
      <c r="J54" s="270"/>
      <c r="K54" s="270"/>
      <c r="L54" s="270"/>
      <c r="M54" s="270"/>
      <c r="N54" s="270"/>
      <c r="O54" s="270"/>
      <c r="P54" s="312"/>
      <c r="Q54" s="308"/>
    </row>
    <row r="55" spans="1:17" ht="13.5" customHeight="1" x14ac:dyDescent="0.25">
      <c r="A55" s="308"/>
      <c r="B55" s="316"/>
      <c r="C55" s="347" t="s">
        <v>128</v>
      </c>
      <c r="D55" s="308"/>
      <c r="E55" s="268"/>
      <c r="F55" s="178">
        <f>E55*Assumptions!$C$10 + E55</f>
        <v>0</v>
      </c>
      <c r="G55" s="178">
        <f>F55*Assumptions!$D$10+F55</f>
        <v>0</v>
      </c>
      <c r="H55" s="426"/>
      <c r="I55" s="269"/>
      <c r="J55" s="270"/>
      <c r="K55" s="270"/>
      <c r="L55" s="270"/>
      <c r="M55" s="270"/>
      <c r="N55" s="270"/>
      <c r="O55" s="270"/>
      <c r="P55" s="312"/>
      <c r="Q55" s="308"/>
    </row>
    <row r="56" spans="1:17" ht="13.5" customHeight="1" x14ac:dyDescent="0.25">
      <c r="A56" s="308"/>
      <c r="B56" s="316"/>
      <c r="C56" s="352" t="s">
        <v>90</v>
      </c>
      <c r="D56" s="308"/>
      <c r="E56" s="178">
        <f ca="1">(5*1+Assumptions!B10)*'Intermediate Calcs'!E97</f>
        <v>0</v>
      </c>
      <c r="F56" s="178">
        <f ca="1">(5*1+Assumptions!C10)*'Intermediate Calcs'!F97</f>
        <v>0</v>
      </c>
      <c r="G56" s="178">
        <f ca="1">(5*1+Assumptions!D10)*'Intermediate Calcs'!G97</f>
        <v>0</v>
      </c>
      <c r="H56" s="179"/>
      <c r="I56" s="179"/>
      <c r="J56" s="179"/>
      <c r="K56" s="179"/>
      <c r="L56" s="179"/>
      <c r="M56" s="179"/>
      <c r="N56" s="179"/>
      <c r="O56" s="179"/>
      <c r="P56" s="312"/>
      <c r="Q56" s="308"/>
    </row>
    <row r="57" spans="1:17" ht="13.5" customHeight="1" x14ac:dyDescent="0.25">
      <c r="A57" s="308"/>
      <c r="B57" s="316"/>
      <c r="C57" s="268" t="s">
        <v>217</v>
      </c>
      <c r="D57" s="308"/>
      <c r="E57" s="268"/>
      <c r="F57" s="268"/>
      <c r="G57" s="268"/>
      <c r="H57" s="434"/>
      <c r="I57" s="269"/>
      <c r="J57" s="270"/>
      <c r="K57" s="270"/>
      <c r="L57" s="270"/>
      <c r="M57" s="270"/>
      <c r="N57" s="270"/>
      <c r="O57" s="270"/>
      <c r="P57" s="312"/>
      <c r="Q57" s="308"/>
    </row>
    <row r="58" spans="1:17" ht="13.5" customHeight="1" x14ac:dyDescent="0.25">
      <c r="A58" s="308"/>
      <c r="B58" s="316"/>
      <c r="C58" s="268" t="s">
        <v>219</v>
      </c>
      <c r="D58" s="308"/>
      <c r="E58" s="268"/>
      <c r="F58" s="268"/>
      <c r="G58" s="268"/>
      <c r="H58" s="434"/>
      <c r="I58" s="269"/>
      <c r="J58" s="270"/>
      <c r="K58" s="270"/>
      <c r="L58" s="270"/>
      <c r="M58" s="270"/>
      <c r="N58" s="270"/>
      <c r="O58" s="270"/>
      <c r="P58" s="312"/>
      <c r="Q58" s="308"/>
    </row>
    <row r="59" spans="1:17" ht="13.5" customHeight="1" x14ac:dyDescent="0.25">
      <c r="B59" s="312"/>
      <c r="C59" s="268" t="s">
        <v>220</v>
      </c>
      <c r="E59" s="268"/>
      <c r="F59" s="268"/>
      <c r="G59" s="268"/>
      <c r="H59" s="434"/>
      <c r="I59" s="269"/>
      <c r="J59" s="270"/>
      <c r="K59" s="270"/>
      <c r="L59" s="270"/>
      <c r="M59" s="270"/>
      <c r="N59" s="270"/>
      <c r="O59" s="270"/>
      <c r="P59" s="312"/>
      <c r="Q59" s="308"/>
    </row>
    <row r="60" spans="1:17" s="312" customFormat="1" ht="13.5" customHeight="1" x14ac:dyDescent="0.25">
      <c r="A60" s="316"/>
      <c r="B60" s="316"/>
      <c r="C60" s="268" t="s">
        <v>275</v>
      </c>
      <c r="D60" s="316"/>
      <c r="E60" s="268"/>
      <c r="F60" s="268"/>
      <c r="G60" s="268"/>
      <c r="H60" s="434"/>
      <c r="I60" s="269"/>
      <c r="J60" s="270"/>
      <c r="K60" s="270"/>
      <c r="L60" s="270"/>
      <c r="M60" s="270"/>
      <c r="N60" s="270"/>
      <c r="O60" s="270"/>
      <c r="Q60" s="316"/>
    </row>
    <row r="61" spans="1:17" ht="13.5" customHeight="1" thickBot="1" x14ac:dyDescent="0.3">
      <c r="A61" s="353"/>
      <c r="B61" s="353"/>
      <c r="C61" s="293" t="s">
        <v>275</v>
      </c>
      <c r="D61" s="353"/>
      <c r="E61" s="293"/>
      <c r="F61" s="293"/>
      <c r="G61" s="293"/>
      <c r="H61" s="294"/>
      <c r="I61" s="294"/>
      <c r="J61" s="295"/>
      <c r="K61" s="295"/>
      <c r="L61" s="295"/>
      <c r="M61" s="295"/>
      <c r="N61" s="295"/>
      <c r="O61" s="295"/>
      <c r="P61" s="312"/>
      <c r="Q61" s="308"/>
    </row>
    <row r="62" spans="1:17" ht="13.5" customHeight="1" x14ac:dyDescent="0.25">
      <c r="A62" s="308"/>
      <c r="B62" s="316"/>
      <c r="C62" s="355" t="s">
        <v>127</v>
      </c>
      <c r="D62" s="308"/>
      <c r="E62" s="356"/>
      <c r="F62" s="356"/>
      <c r="G62" s="356"/>
      <c r="H62" s="312"/>
      <c r="I62" s="312"/>
      <c r="J62" s="312"/>
      <c r="K62" s="312"/>
      <c r="L62" s="312"/>
      <c r="M62" s="312"/>
      <c r="N62" s="312"/>
      <c r="O62" s="312"/>
      <c r="P62" s="312"/>
      <c r="Q62" s="308"/>
    </row>
    <row r="63" spans="1:17" ht="13.5" customHeight="1" x14ac:dyDescent="0.25">
      <c r="A63" s="308"/>
      <c r="B63" s="316"/>
      <c r="C63" s="347" t="s">
        <v>91</v>
      </c>
      <c r="D63" s="308"/>
      <c r="E63" s="350">
        <f>'Intermediate Calcs'!E63*9*Assumptions!C16</f>
        <v>0</v>
      </c>
      <c r="F63" s="348">
        <f ca="1">'Intermediate Calcs'!F63*9*Assumptions!D16</f>
        <v>0</v>
      </c>
      <c r="G63" s="348">
        <f ca="1">'Intermediate Calcs'!G63*9*Assumptions!E16</f>
        <v>0</v>
      </c>
      <c r="H63" s="350"/>
      <c r="I63" s="350"/>
      <c r="J63" s="350"/>
      <c r="K63" s="350"/>
      <c r="L63" s="350"/>
      <c r="M63" s="350"/>
      <c r="N63" s="350"/>
      <c r="O63" s="350"/>
      <c r="P63" s="312"/>
    </row>
    <row r="64" spans="1:17" ht="13.5" customHeight="1" thickBot="1" x14ac:dyDescent="0.3">
      <c r="A64" s="353"/>
      <c r="B64" s="353"/>
      <c r="C64" s="354" t="s">
        <v>286</v>
      </c>
      <c r="D64" s="353"/>
      <c r="E64" s="293"/>
      <c r="F64" s="293"/>
      <c r="G64" s="293"/>
      <c r="H64" s="427"/>
      <c r="I64" s="294"/>
      <c r="J64" s="295"/>
      <c r="K64" s="295"/>
      <c r="L64" s="295"/>
      <c r="M64" s="295"/>
      <c r="N64" s="295"/>
      <c r="O64" s="295"/>
      <c r="P64" s="312"/>
      <c r="Q64" s="308"/>
    </row>
    <row r="65" spans="1:18" ht="13.5" customHeight="1" thickBot="1" x14ac:dyDescent="0.3">
      <c r="A65" s="353"/>
      <c r="B65" s="353"/>
      <c r="C65" s="354" t="s">
        <v>207</v>
      </c>
      <c r="D65" s="353"/>
      <c r="E65" s="293"/>
      <c r="F65" s="293"/>
      <c r="G65" s="293"/>
      <c r="H65" s="294"/>
      <c r="I65" s="294"/>
      <c r="J65" s="295"/>
      <c r="K65" s="295"/>
      <c r="L65" s="295"/>
      <c r="M65" s="295"/>
      <c r="N65" s="295"/>
      <c r="O65" s="295"/>
      <c r="P65" s="312"/>
      <c r="Q65" s="308"/>
    </row>
    <row r="66" spans="1:18" s="357" customFormat="1" x14ac:dyDescent="0.2">
      <c r="A66" s="305" t="s">
        <v>224</v>
      </c>
      <c r="B66" s="305"/>
      <c r="C66" s="305"/>
      <c r="D66" s="305"/>
      <c r="E66" s="305"/>
      <c r="F66" s="305"/>
      <c r="H66" s="305"/>
    </row>
    <row r="67" spans="1:18" s="357" customFormat="1" ht="25.5" x14ac:dyDescent="0.2">
      <c r="A67" s="358" t="s">
        <v>225</v>
      </c>
      <c r="B67" s="359" t="s">
        <v>226</v>
      </c>
      <c r="C67" s="358" t="s">
        <v>227</v>
      </c>
      <c r="D67" s="359" t="s">
        <v>228</v>
      </c>
      <c r="E67" s="358" t="s">
        <v>229</v>
      </c>
      <c r="F67" s="359" t="s">
        <v>230</v>
      </c>
      <c r="H67" s="305"/>
    </row>
    <row r="68" spans="1:18" s="357" customFormat="1" x14ac:dyDescent="0.2">
      <c r="A68" s="299"/>
      <c r="B68" s="298" t="s">
        <v>231</v>
      </c>
      <c r="C68" s="297" t="s">
        <v>234</v>
      </c>
      <c r="D68" s="360">
        <f>IF(B68="New",A68*1.6,A68)</f>
        <v>0</v>
      </c>
      <c r="E68" s="361">
        <f>VLOOKUP($C68,'Intermediate-Calculations'!$C$50:$F$55,IF(B68='Intermediate-Calculations'!$B$52,4,2),FALSE)</f>
        <v>470</v>
      </c>
      <c r="F68" s="362">
        <f>IF(ISNA(E68),0,D68*E68)</f>
        <v>0</v>
      </c>
      <c r="G68" s="437"/>
      <c r="H68" s="435"/>
      <c r="I68" s="435"/>
      <c r="J68" s="436"/>
      <c r="K68" s="436"/>
      <c r="L68" s="436"/>
      <c r="M68" s="436"/>
      <c r="N68" s="436"/>
      <c r="O68" s="436"/>
    </row>
    <row r="69" spans="1:18" s="357" customFormat="1" ht="12" customHeight="1" x14ac:dyDescent="0.2">
      <c r="A69" s="299"/>
      <c r="B69" s="298" t="s">
        <v>231</v>
      </c>
      <c r="C69" s="297" t="s">
        <v>233</v>
      </c>
      <c r="D69" s="360">
        <f>IF(B69="New",A69*1.6,A69)</f>
        <v>0</v>
      </c>
      <c r="E69" s="361">
        <f>VLOOKUP($C69,'Intermediate-Calculations'!$C$50:$F$55,IF(B69='Intermediate-Calculations'!$B$52,4,2),FALSE)</f>
        <v>210</v>
      </c>
      <c r="F69" s="362">
        <f>IF(ISNA(E69),0,D69*E69)</f>
        <v>0</v>
      </c>
      <c r="G69" s="437"/>
      <c r="H69" s="435"/>
      <c r="I69" s="435"/>
      <c r="J69" s="436"/>
      <c r="K69" s="436"/>
      <c r="L69" s="436"/>
      <c r="M69" s="436"/>
      <c r="N69" s="436"/>
      <c r="O69" s="436"/>
    </row>
    <row r="70" spans="1:18" s="357" customFormat="1" ht="12" customHeight="1" x14ac:dyDescent="0.2">
      <c r="A70" s="299"/>
      <c r="B70" s="298" t="s">
        <v>231</v>
      </c>
      <c r="C70" s="297" t="s">
        <v>235</v>
      </c>
      <c r="D70" s="360">
        <f>IF(B70="New",A70*1.6,A70)</f>
        <v>0</v>
      </c>
      <c r="E70" s="361">
        <f>VLOOKUP($C70,'Intermediate-Calculations'!$C$50:$F$55,IF(B70='Intermediate-Calculations'!$B$52,4,2),FALSE)</f>
        <v>400</v>
      </c>
      <c r="F70" s="362">
        <f>IF(ISNA(E70),0,D70*E70)</f>
        <v>0</v>
      </c>
      <c r="G70" s="437"/>
      <c r="H70" s="435"/>
      <c r="I70" s="435"/>
      <c r="J70" s="436"/>
      <c r="K70" s="436"/>
      <c r="L70" s="436"/>
      <c r="M70" s="436"/>
      <c r="N70" s="436"/>
      <c r="O70" s="436"/>
    </row>
    <row r="71" spans="1:18" s="357" customFormat="1" ht="12" customHeight="1" x14ac:dyDescent="0.2">
      <c r="A71" s="299"/>
      <c r="B71" s="298" t="s">
        <v>231</v>
      </c>
      <c r="C71" s="297" t="s">
        <v>232</v>
      </c>
      <c r="D71" s="360">
        <f>IF(B71="New",A71*1.6,A71)</f>
        <v>0</v>
      </c>
      <c r="E71" s="361">
        <f>VLOOKUP($C71,'Intermediate-Calculations'!$C$50:$F$55,IF(B71='Intermediate-Calculations'!$B$52,4,2),FALSE)</f>
        <v>220</v>
      </c>
      <c r="F71" s="362">
        <f>IF(ISNA(E71),0,D71*E71)</f>
        <v>0</v>
      </c>
      <c r="G71" s="437"/>
      <c r="H71" s="435"/>
      <c r="I71" s="435"/>
      <c r="J71" s="436"/>
      <c r="K71" s="436"/>
      <c r="L71" s="436"/>
      <c r="M71" s="436"/>
      <c r="N71" s="436"/>
      <c r="O71" s="436"/>
    </row>
    <row r="72" spans="1:18" s="369" customFormat="1" ht="13.5" thickBot="1" x14ac:dyDescent="0.25">
      <c r="A72" s="363">
        <f>SUM(A68:A71)</f>
        <v>0</v>
      </c>
      <c r="B72" s="364"/>
      <c r="C72" s="365" t="s">
        <v>208</v>
      </c>
      <c r="D72" s="366">
        <f>SUM(D68:D71)</f>
        <v>0</v>
      </c>
      <c r="E72" s="367"/>
      <c r="F72" s="368">
        <f>SUM(F68:F71)</f>
        <v>0</v>
      </c>
      <c r="G72" s="303"/>
      <c r="H72" s="300"/>
      <c r="I72" s="300"/>
      <c r="J72" s="301"/>
      <c r="K72" s="301"/>
      <c r="L72" s="301"/>
      <c r="M72" s="301"/>
      <c r="N72" s="301"/>
      <c r="O72" s="301"/>
    </row>
    <row r="73" spans="1:18" s="357" customFormat="1" x14ac:dyDescent="0.2">
      <c r="A73" s="361">
        <f>IF( A72=0,0,F72/A72)</f>
        <v>0</v>
      </c>
      <c r="B73" s="370" t="s">
        <v>236</v>
      </c>
      <c r="C73" s="370"/>
      <c r="D73" s="361">
        <f>IF(D72=0,0,F72/D72)</f>
        <v>0</v>
      </c>
      <c r="E73" s="305"/>
      <c r="F73" s="305"/>
      <c r="H73" s="305"/>
    </row>
    <row r="74" spans="1:18" ht="13.5" customHeight="1" x14ac:dyDescent="0.25">
      <c r="A74" s="308"/>
      <c r="B74" s="316"/>
      <c r="D74" s="308"/>
      <c r="E74" s="308"/>
      <c r="F74" s="308"/>
      <c r="G74" s="308"/>
      <c r="H74" s="308"/>
      <c r="K74" s="467" t="s">
        <v>285</v>
      </c>
      <c r="L74" s="467"/>
      <c r="M74" s="467"/>
      <c r="N74" s="467"/>
      <c r="O74" s="467"/>
      <c r="P74" s="312"/>
      <c r="Q74" s="308"/>
    </row>
    <row r="75" spans="1:18" ht="21" x14ac:dyDescent="0.35">
      <c r="A75" s="439" t="s">
        <v>240</v>
      </c>
      <c r="B75" s="439"/>
      <c r="C75" s="439"/>
      <c r="D75" s="439"/>
      <c r="E75" s="439"/>
      <c r="F75" s="439"/>
      <c r="G75" s="439"/>
      <c r="H75" s="439"/>
      <c r="I75" s="439"/>
      <c r="J75" s="439"/>
      <c r="K75" s="439"/>
      <c r="L75" s="439"/>
      <c r="M75" s="439"/>
      <c r="N75" s="439"/>
      <c r="O75" s="439"/>
      <c r="P75" s="439"/>
      <c r="Q75" s="312"/>
      <c r="R75" s="308"/>
    </row>
    <row r="76" spans="1:18" ht="15" x14ac:dyDescent="0.25">
      <c r="A76" s="308"/>
      <c r="B76" s="308"/>
      <c r="C76" s="371"/>
      <c r="D76" s="316"/>
      <c r="E76" s="372"/>
      <c r="F76" s="373"/>
      <c r="G76" s="373"/>
      <c r="H76" s="373"/>
      <c r="I76" s="373"/>
      <c r="J76" s="373"/>
      <c r="K76" s="312"/>
      <c r="L76" s="312"/>
      <c r="M76" s="312"/>
      <c r="N76" s="312"/>
      <c r="O76" s="312"/>
      <c r="P76" s="312"/>
      <c r="Q76" s="312"/>
      <c r="R76" s="308"/>
    </row>
  </sheetData>
  <sheetProtection algorithmName="SHA-512" hashValue="yplRovkWZEt7KtfLS2tu/p78SM1ivpajgAGvIrngbm6m6X0kGu4eyHaMthwFUzXNpPrGsulKWzy+XcGaFwGjsg==" saltValue="axxfV3QaJu6JBDXiWwXFpg==" spinCount="100000" sheet="1" objects="1" scenarios="1" selectLockedCells="1"/>
  <mergeCells count="16">
    <mergeCell ref="A75:P75"/>
    <mergeCell ref="H38:O38"/>
    <mergeCell ref="C12:D12"/>
    <mergeCell ref="E37:O37"/>
    <mergeCell ref="A1:O1"/>
    <mergeCell ref="A5:O5"/>
    <mergeCell ref="D9:G9"/>
    <mergeCell ref="A4:O4"/>
    <mergeCell ref="F27:J27"/>
    <mergeCell ref="C27:D27"/>
    <mergeCell ref="C18:D18"/>
    <mergeCell ref="E14:G14"/>
    <mergeCell ref="L18:P18"/>
    <mergeCell ref="K74:O74"/>
    <mergeCell ref="A2:O2"/>
    <mergeCell ref="A3:O3"/>
  </mergeCells>
  <dataValidations count="1">
    <dataValidation type="list" allowBlank="1" showInputMessage="1" showErrorMessage="1" sqref="E14:G14">
      <formula1>programtype</formula1>
    </dataValidation>
  </dataValidations>
  <pageMargins left="0.7" right="0.7" top="0.75" bottom="0.75" header="0.3" footer="0.3"/>
  <pageSetup scale="44" orientation="landscape" r:id="rId1"/>
  <headerFooter>
    <oddFooter>&amp;C&amp;A&amp;R&amp;F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1" r:id="rId4" name="Enrollment Mgmt Confirmation">
              <controlPr defaultSize="0" autoFill="0" autoLine="0" autoPict="0">
                <anchor moveWithCells="1">
                  <from>
                    <xdr:col>1</xdr:col>
                    <xdr:colOff>9525</xdr:colOff>
                    <xdr:row>33</xdr:row>
                    <xdr:rowOff>0</xdr:rowOff>
                  </from>
                  <to>
                    <xdr:col>1</xdr:col>
                    <xdr:colOff>847725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'developer tab'!$B$3:$B$4</xm:f>
          </x14:formula1>
          <xm:sqref>E24</xm:sqref>
        </x14:dataValidation>
        <x14:dataValidation type="list" allowBlank="1" showInputMessage="1" showErrorMessage="1">
          <x14:formula1>
            <xm:f>'developer tab'!$B$18:$B$21</xm:f>
          </x14:formula1>
          <xm:sqref>C68:C71</xm:sqref>
        </x14:dataValidation>
        <x14:dataValidation type="list" allowBlank="1" showInputMessage="1" showErrorMessage="1">
          <x14:formula1>
            <xm:f>'developer tab'!$B$15:$B$16</xm:f>
          </x14:formula1>
          <xm:sqref>B68:B71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41"/>
  <sheetViews>
    <sheetView workbookViewId="0">
      <selection activeCell="E29" sqref="E29"/>
    </sheetView>
  </sheetViews>
  <sheetFormatPr defaultRowHeight="12.75" x14ac:dyDescent="0.2"/>
  <cols>
    <col min="1" max="1" width="30.5703125" customWidth="1"/>
    <col min="2" max="2" width="15.42578125" customWidth="1"/>
    <col min="3" max="3" width="14.28515625" customWidth="1"/>
    <col min="4" max="4" width="14.85546875" customWidth="1"/>
    <col min="5" max="5" width="15.42578125" customWidth="1"/>
  </cols>
  <sheetData>
    <row r="1" spans="1:16" ht="15" x14ac:dyDescent="0.2">
      <c r="A1" s="385" t="s">
        <v>241</v>
      </c>
    </row>
    <row r="2" spans="1:16" ht="62.25" customHeight="1" x14ac:dyDescent="0.2">
      <c r="A2" s="503" t="s">
        <v>242</v>
      </c>
      <c r="B2" s="503"/>
      <c r="C2" s="503"/>
      <c r="D2" s="503"/>
      <c r="E2" s="503"/>
      <c r="F2" s="503"/>
      <c r="G2" s="503"/>
      <c r="H2" s="503"/>
      <c r="I2" s="503"/>
      <c r="J2" s="503"/>
      <c r="K2" s="503"/>
      <c r="L2" s="503"/>
      <c r="M2" s="503"/>
      <c r="N2" s="503"/>
      <c r="O2" s="503"/>
      <c r="P2" s="503"/>
    </row>
    <row r="3" spans="1:16" ht="15" x14ac:dyDescent="0.2">
      <c r="A3" s="386"/>
    </row>
    <row r="4" spans="1:16" ht="15" x14ac:dyDescent="0.2">
      <c r="A4" s="386"/>
    </row>
    <row r="5" spans="1:16" ht="15" x14ac:dyDescent="0.2">
      <c r="A5" s="386" t="s">
        <v>243</v>
      </c>
    </row>
    <row r="6" spans="1:16" ht="13.5" thickBot="1" x14ac:dyDescent="0.25">
      <c r="A6" s="387"/>
    </row>
    <row r="7" spans="1:16" ht="13.5" thickBot="1" x14ac:dyDescent="0.25">
      <c r="A7" s="388"/>
      <c r="B7" s="389" t="s">
        <v>244</v>
      </c>
      <c r="C7" s="389" t="s">
        <v>245</v>
      </c>
      <c r="D7" s="389" t="s">
        <v>246</v>
      </c>
      <c r="E7" s="389" t="s">
        <v>247</v>
      </c>
    </row>
    <row r="8" spans="1:16" x14ac:dyDescent="0.2">
      <c r="A8" s="390" t="s">
        <v>248</v>
      </c>
      <c r="B8" s="501">
        <v>6</v>
      </c>
      <c r="C8" s="501">
        <v>6</v>
      </c>
      <c r="D8" s="501">
        <v>6</v>
      </c>
      <c r="E8" s="501">
        <v>6</v>
      </c>
    </row>
    <row r="9" spans="1:16" x14ac:dyDescent="0.2">
      <c r="A9" s="391" t="s">
        <v>249</v>
      </c>
      <c r="B9" s="504"/>
      <c r="C9" s="504"/>
      <c r="D9" s="504"/>
      <c r="E9" s="504"/>
    </row>
    <row r="10" spans="1:16" ht="13.5" thickBot="1" x14ac:dyDescent="0.25">
      <c r="A10" s="392" t="s">
        <v>250</v>
      </c>
      <c r="B10" s="502"/>
      <c r="C10" s="502"/>
      <c r="D10" s="502"/>
      <c r="E10" s="502"/>
    </row>
    <row r="11" spans="1:16" ht="13.5" thickBot="1" x14ac:dyDescent="0.25">
      <c r="A11" s="393" t="s">
        <v>251</v>
      </c>
      <c r="B11" s="394">
        <v>24</v>
      </c>
      <c r="C11" s="394">
        <v>12</v>
      </c>
      <c r="D11" s="394">
        <v>15</v>
      </c>
      <c r="E11" s="394">
        <v>15</v>
      </c>
    </row>
    <row r="12" spans="1:16" x14ac:dyDescent="0.2">
      <c r="A12" s="395" t="s">
        <v>252</v>
      </c>
      <c r="B12" s="501">
        <v>9</v>
      </c>
      <c r="C12" s="501">
        <v>9</v>
      </c>
      <c r="D12" s="501">
        <v>0</v>
      </c>
      <c r="E12" s="501">
        <v>0</v>
      </c>
    </row>
    <row r="13" spans="1:16" ht="13.5" thickBot="1" x14ac:dyDescent="0.25">
      <c r="A13" s="396" t="s">
        <v>253</v>
      </c>
      <c r="B13" s="502"/>
      <c r="C13" s="502"/>
      <c r="D13" s="502"/>
      <c r="E13" s="502"/>
    </row>
    <row r="14" spans="1:16" ht="22.5" customHeight="1" x14ac:dyDescent="0.2">
      <c r="A14" s="505" t="s">
        <v>254</v>
      </c>
      <c r="B14" s="501">
        <v>21</v>
      </c>
      <c r="C14" s="501">
        <v>3</v>
      </c>
      <c r="D14" s="501">
        <v>3</v>
      </c>
      <c r="E14" s="501">
        <v>9</v>
      </c>
    </row>
    <row r="15" spans="1:16" ht="13.5" thickBot="1" x14ac:dyDescent="0.25">
      <c r="A15" s="506"/>
      <c r="B15" s="502"/>
      <c r="C15" s="502"/>
      <c r="D15" s="502"/>
      <c r="E15" s="502"/>
    </row>
    <row r="16" spans="1:16" ht="13.5" thickBot="1" x14ac:dyDescent="0.25">
      <c r="A16" s="397" t="s">
        <v>255</v>
      </c>
      <c r="B16" s="394">
        <v>60</v>
      </c>
      <c r="C16" s="394">
        <v>30</v>
      </c>
      <c r="D16" s="394">
        <v>24</v>
      </c>
      <c r="E16" s="394">
        <v>30</v>
      </c>
    </row>
    <row r="17" spans="1:16" ht="15" x14ac:dyDescent="0.2">
      <c r="A17" s="386" t="s">
        <v>256</v>
      </c>
    </row>
    <row r="18" spans="1:16" ht="15" x14ac:dyDescent="0.2">
      <c r="A18" s="386"/>
    </row>
    <row r="19" spans="1:16" ht="15" x14ac:dyDescent="0.2">
      <c r="A19" s="386"/>
    </row>
    <row r="20" spans="1:16" ht="36.75" customHeight="1" x14ac:dyDescent="0.2">
      <c r="A20" s="503" t="s">
        <v>257</v>
      </c>
      <c r="B20" s="503"/>
      <c r="C20" s="503"/>
      <c r="D20" s="503"/>
      <c r="E20" s="503"/>
      <c r="F20" s="503"/>
      <c r="G20" s="503"/>
      <c r="H20" s="503"/>
      <c r="I20" s="503"/>
      <c r="J20" s="503"/>
      <c r="K20" s="503"/>
      <c r="L20" s="503"/>
      <c r="M20" s="503"/>
      <c r="N20" s="503"/>
      <c r="O20" s="503"/>
      <c r="P20" s="503"/>
    </row>
    <row r="21" spans="1:16" ht="15" x14ac:dyDescent="0.2">
      <c r="A21" s="386"/>
    </row>
    <row r="23" spans="1:16" ht="37.5" customHeight="1" x14ac:dyDescent="0.2">
      <c r="A23" s="508" t="s">
        <v>258</v>
      </c>
      <c r="B23" s="508"/>
      <c r="C23" s="508"/>
      <c r="D23" s="508"/>
      <c r="E23" s="508"/>
      <c r="F23" s="508"/>
      <c r="G23" s="508"/>
      <c r="H23" s="508"/>
      <c r="I23" s="508"/>
      <c r="J23" s="508"/>
      <c r="K23" s="508"/>
      <c r="L23" s="508"/>
      <c r="M23" s="508"/>
      <c r="N23" s="508"/>
      <c r="O23" s="508"/>
      <c r="P23" s="508"/>
    </row>
    <row r="25" spans="1:16" x14ac:dyDescent="0.2">
      <c r="A25" s="296"/>
    </row>
    <row r="26" spans="1:16" ht="15" x14ac:dyDescent="0.2">
      <c r="A26" s="385" t="s">
        <v>259</v>
      </c>
    </row>
    <row r="27" spans="1:16" ht="15" x14ac:dyDescent="0.2">
      <c r="A27" s="398" t="s">
        <v>260</v>
      </c>
    </row>
    <row r="28" spans="1:16" x14ac:dyDescent="0.2">
      <c r="A28" s="399" t="s">
        <v>261</v>
      </c>
    </row>
    <row r="29" spans="1:16" ht="15" x14ac:dyDescent="0.2">
      <c r="A29" s="400" t="s">
        <v>262</v>
      </c>
    </row>
    <row r="30" spans="1:16" ht="15" x14ac:dyDescent="0.2">
      <c r="A30" s="400" t="s">
        <v>263</v>
      </c>
    </row>
    <row r="31" spans="1:16" ht="15" x14ac:dyDescent="0.2">
      <c r="A31" s="400" t="s">
        <v>264</v>
      </c>
    </row>
    <row r="32" spans="1:16" ht="15" x14ac:dyDescent="0.2">
      <c r="A32" s="400" t="s">
        <v>265</v>
      </c>
    </row>
    <row r="33" spans="1:16" ht="15" x14ac:dyDescent="0.2">
      <c r="A33" s="400" t="s">
        <v>266</v>
      </c>
    </row>
    <row r="34" spans="1:16" ht="15" x14ac:dyDescent="0.2">
      <c r="A34" s="401" t="s">
        <v>267</v>
      </c>
    </row>
    <row r="35" spans="1:16" ht="15" x14ac:dyDescent="0.2">
      <c r="A35" s="385"/>
    </row>
    <row r="36" spans="1:16" ht="52.5" customHeight="1" x14ac:dyDescent="0.2">
      <c r="A36" s="507" t="s">
        <v>268</v>
      </c>
      <c r="B36" s="507"/>
      <c r="C36" s="507"/>
      <c r="D36" s="507"/>
      <c r="E36" s="507"/>
      <c r="F36" s="507"/>
      <c r="G36" s="507"/>
      <c r="H36" s="507"/>
      <c r="I36" s="507"/>
      <c r="J36" s="507"/>
      <c r="K36" s="507"/>
      <c r="L36" s="507"/>
      <c r="M36" s="507"/>
      <c r="N36" s="507"/>
      <c r="O36" s="507"/>
      <c r="P36" s="507"/>
    </row>
    <row r="37" spans="1:16" ht="46.5" customHeight="1" x14ac:dyDescent="0.2">
      <c r="A37" s="507" t="s">
        <v>269</v>
      </c>
      <c r="B37" s="507"/>
      <c r="C37" s="507"/>
      <c r="D37" s="507"/>
      <c r="E37" s="507"/>
      <c r="F37" s="507"/>
      <c r="G37" s="507"/>
      <c r="H37" s="507"/>
      <c r="I37" s="507"/>
      <c r="J37" s="507"/>
      <c r="K37" s="507"/>
      <c r="L37" s="507"/>
      <c r="M37" s="507"/>
      <c r="N37" s="507"/>
      <c r="O37" s="507"/>
      <c r="P37" s="507"/>
    </row>
    <row r="38" spans="1:16" ht="49.5" customHeight="1" x14ac:dyDescent="0.2">
      <c r="A38" s="507" t="s">
        <v>270</v>
      </c>
      <c r="B38" s="507"/>
      <c r="C38" s="507"/>
      <c r="D38" s="507"/>
      <c r="E38" s="507"/>
      <c r="F38" s="507"/>
      <c r="G38" s="507"/>
      <c r="H38" s="507"/>
      <c r="I38" s="507"/>
      <c r="J38" s="507"/>
      <c r="K38" s="507"/>
      <c r="L38" s="507"/>
      <c r="M38" s="507"/>
      <c r="N38" s="507"/>
      <c r="O38" s="507"/>
      <c r="P38" s="507"/>
    </row>
    <row r="39" spans="1:16" ht="43.5" customHeight="1" x14ac:dyDescent="0.2">
      <c r="A39" s="507" t="s">
        <v>271</v>
      </c>
      <c r="B39" s="507"/>
      <c r="C39" s="507"/>
      <c r="D39" s="507"/>
      <c r="E39" s="507"/>
      <c r="F39" s="507"/>
      <c r="G39" s="507"/>
      <c r="H39" s="507"/>
      <c r="I39" s="507"/>
      <c r="J39" s="507"/>
      <c r="K39" s="507"/>
      <c r="L39" s="507"/>
      <c r="M39" s="507"/>
      <c r="N39" s="507"/>
      <c r="O39" s="507"/>
      <c r="P39" s="507"/>
    </row>
    <row r="40" spans="1:16" ht="32.25" customHeight="1" x14ac:dyDescent="0.2">
      <c r="A40" s="507" t="s">
        <v>272</v>
      </c>
      <c r="B40" s="507"/>
      <c r="C40" s="507"/>
      <c r="D40" s="507"/>
      <c r="E40" s="507"/>
      <c r="F40" s="507"/>
      <c r="G40" s="507"/>
      <c r="H40" s="507"/>
      <c r="I40" s="507"/>
      <c r="J40" s="507"/>
      <c r="K40" s="507"/>
      <c r="L40" s="507"/>
      <c r="M40" s="507"/>
      <c r="N40" s="507"/>
      <c r="O40" s="507"/>
      <c r="P40" s="507"/>
    </row>
    <row r="41" spans="1:16" ht="15" x14ac:dyDescent="0.2">
      <c r="A41" s="385"/>
    </row>
  </sheetData>
  <sheetProtection password="9523" sheet="1" objects="1" scenarios="1"/>
  <mergeCells count="21">
    <mergeCell ref="A40:P40"/>
    <mergeCell ref="A20:P20"/>
    <mergeCell ref="A23:P23"/>
    <mergeCell ref="A36:P36"/>
    <mergeCell ref="A37:P37"/>
    <mergeCell ref="A38:P38"/>
    <mergeCell ref="A39:P39"/>
    <mergeCell ref="A14:A15"/>
    <mergeCell ref="B14:B15"/>
    <mergeCell ref="C14:C15"/>
    <mergeCell ref="D14:D15"/>
    <mergeCell ref="E14:E15"/>
    <mergeCell ref="B12:B13"/>
    <mergeCell ref="C12:C13"/>
    <mergeCell ref="D12:D13"/>
    <mergeCell ref="E12:E13"/>
    <mergeCell ref="A2:P2"/>
    <mergeCell ref="B8:B10"/>
    <mergeCell ref="C8:C10"/>
    <mergeCell ref="D8:D10"/>
    <mergeCell ref="E8:E10"/>
  </mergeCells>
  <pageMargins left="0.45" right="0.45" top="0.75" bottom="0.75" header="0.3" footer="0.3"/>
  <pageSetup scale="51" orientation="portrait" r:id="rId1"/>
  <headerFooter>
    <oddFooter>&amp;C&amp;A&amp;R&amp;F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Y77"/>
  <sheetViews>
    <sheetView workbookViewId="0">
      <selection activeCell="C14" sqref="C14"/>
    </sheetView>
  </sheetViews>
  <sheetFormatPr defaultRowHeight="12.75" x14ac:dyDescent="0.2"/>
  <cols>
    <col min="1" max="1" width="35.7109375" style="1" customWidth="1"/>
    <col min="2" max="2" width="6.7109375" style="154" customWidth="1"/>
    <col min="3" max="3" width="13.7109375" style="1" customWidth="1"/>
    <col min="4" max="4" width="6.7109375" style="154" customWidth="1"/>
    <col min="5" max="5" width="13.7109375" style="1" customWidth="1"/>
    <col min="6" max="6" width="6.7109375" style="154" customWidth="1"/>
    <col min="7" max="7" width="13.7109375" style="1" customWidth="1"/>
    <col min="8" max="8" width="6.7109375" style="154" customWidth="1"/>
    <col min="9" max="9" width="13.7109375" style="1" customWidth="1"/>
    <col min="10" max="10" width="6.7109375" style="154" customWidth="1"/>
    <col min="11" max="12" width="13.7109375" style="1" customWidth="1"/>
    <col min="13" max="13" width="2.7109375" style="1" customWidth="1"/>
    <col min="14" max="14" width="24.7109375" style="1" customWidth="1"/>
    <col min="15" max="15" width="22.7109375" style="1" customWidth="1"/>
    <col min="16" max="21" width="12.7109375" style="1" customWidth="1"/>
    <col min="22" max="16384" width="9.140625" style="1"/>
  </cols>
  <sheetData>
    <row r="2" spans="1:21" ht="15.75" x14ac:dyDescent="0.25">
      <c r="A2" s="469" t="s">
        <v>96</v>
      </c>
      <c r="B2" s="469"/>
      <c r="C2" s="469"/>
      <c r="D2" s="469"/>
      <c r="E2" s="469"/>
      <c r="F2" s="469"/>
      <c r="G2" s="469"/>
      <c r="H2" s="469"/>
      <c r="I2" s="469"/>
      <c r="J2" s="469"/>
      <c r="K2" s="469"/>
      <c r="L2" s="469"/>
      <c r="M2" s="469"/>
      <c r="N2" s="469"/>
      <c r="O2" s="469"/>
      <c r="P2" s="469"/>
      <c r="Q2" s="469"/>
      <c r="R2" s="469"/>
      <c r="S2" s="469"/>
      <c r="T2" s="469"/>
      <c r="U2" s="469"/>
    </row>
    <row r="3" spans="1:21" ht="15.75" x14ac:dyDescent="0.25">
      <c r="A3" s="469">
        <f>INPUT!D9</f>
        <v>0</v>
      </c>
      <c r="B3" s="469"/>
      <c r="C3" s="469"/>
      <c r="D3" s="469"/>
      <c r="E3" s="469"/>
      <c r="F3" s="469"/>
      <c r="G3" s="469"/>
      <c r="H3" s="469"/>
      <c r="I3" s="469"/>
      <c r="J3" s="469"/>
      <c r="K3" s="469"/>
      <c r="L3" s="469"/>
      <c r="M3" s="469"/>
      <c r="N3" s="469"/>
      <c r="O3" s="469"/>
      <c r="P3" s="469"/>
      <c r="Q3" s="469"/>
      <c r="R3" s="469"/>
      <c r="S3" s="469"/>
      <c r="T3" s="469"/>
      <c r="U3" s="469"/>
    </row>
    <row r="4" spans="1:21" ht="15.75" x14ac:dyDescent="0.25">
      <c r="A4" s="469" t="s">
        <v>70</v>
      </c>
      <c r="B4" s="469"/>
      <c r="C4" s="469"/>
      <c r="D4" s="469"/>
      <c r="E4" s="469"/>
      <c r="F4" s="469"/>
      <c r="G4" s="469"/>
      <c r="H4" s="469"/>
      <c r="I4" s="469"/>
      <c r="J4" s="469"/>
      <c r="K4" s="469"/>
      <c r="L4" s="469"/>
      <c r="M4" s="469"/>
      <c r="N4" s="469"/>
      <c r="O4" s="469"/>
      <c r="P4" s="469"/>
      <c r="Q4" s="469"/>
      <c r="R4" s="469"/>
      <c r="S4" s="469"/>
      <c r="T4" s="469"/>
      <c r="U4" s="469"/>
    </row>
    <row r="5" spans="1:21" ht="15" x14ac:dyDescent="0.25">
      <c r="A5" s="64" t="s">
        <v>108</v>
      </c>
      <c r="B5" s="64"/>
      <c r="C5" s="59">
        <f>+C13</f>
        <v>2019</v>
      </c>
      <c r="D5" s="168"/>
      <c r="E5" s="59">
        <f>+E13</f>
        <v>2020</v>
      </c>
      <c r="F5" s="168"/>
      <c r="G5" s="59">
        <f>+G13</f>
        <v>2021</v>
      </c>
      <c r="H5" s="168"/>
      <c r="I5" s="59">
        <f>+I13</f>
        <v>2022</v>
      </c>
      <c r="J5" s="168"/>
      <c r="K5" s="59">
        <f>+K13</f>
        <v>2023</v>
      </c>
      <c r="L5" s="65" t="s">
        <v>0</v>
      </c>
      <c r="M5" s="2"/>
      <c r="P5" s="154"/>
      <c r="Q5" s="154"/>
      <c r="R5" s="154"/>
      <c r="S5" s="154"/>
      <c r="T5" s="154"/>
    </row>
    <row r="6" spans="1:21" ht="15" x14ac:dyDescent="0.25">
      <c r="A6" s="3" t="s">
        <v>197</v>
      </c>
      <c r="B6" s="3"/>
      <c r="C6" s="95">
        <f ca="1">+'Intermediate Calcs'!E135+'Intermediate Calcs'!E137</f>
        <v>0</v>
      </c>
      <c r="D6" s="95"/>
      <c r="E6" s="95">
        <f ca="1">+'Intermediate Calcs'!F135+'Intermediate Calcs'!F137</f>
        <v>0</v>
      </c>
      <c r="F6" s="95"/>
      <c r="G6" s="95">
        <f ca="1">+'Intermediate Calcs'!G135+'Intermediate Calcs'!G137</f>
        <v>0</v>
      </c>
      <c r="H6" s="95"/>
      <c r="I6" s="95">
        <f ca="1">+'Intermediate Calcs'!H135+'Intermediate Calcs'!H137</f>
        <v>0</v>
      </c>
      <c r="J6" s="95"/>
      <c r="K6" s="95">
        <f ca="1">+'Intermediate Calcs'!I135+'Intermediate Calcs'!I137</f>
        <v>0</v>
      </c>
      <c r="L6" s="23">
        <f ca="1">SUM(C6:K6)</f>
        <v>0</v>
      </c>
      <c r="M6" s="2"/>
      <c r="O6" s="154"/>
      <c r="P6" s="154"/>
      <c r="Q6" s="154"/>
      <c r="R6" s="154"/>
      <c r="S6" s="154"/>
      <c r="T6" s="154"/>
      <c r="U6" s="154"/>
    </row>
    <row r="7" spans="1:21" ht="15" x14ac:dyDescent="0.25">
      <c r="A7" s="3" t="s">
        <v>198</v>
      </c>
      <c r="B7" s="3"/>
      <c r="C7" s="95">
        <f ca="1">+'Intermediate Calcs'!E136+'Intermediate Calcs'!E138</f>
        <v>0</v>
      </c>
      <c r="D7" s="95"/>
      <c r="E7" s="95">
        <f ca="1">+'Intermediate Calcs'!F136+'Intermediate Calcs'!F138</f>
        <v>0</v>
      </c>
      <c r="F7" s="95"/>
      <c r="G7" s="95">
        <f ca="1">+'Intermediate Calcs'!G136+'Intermediate Calcs'!G138</f>
        <v>0</v>
      </c>
      <c r="H7" s="95"/>
      <c r="I7" s="95">
        <f ca="1">+'Intermediate Calcs'!H136+'Intermediate Calcs'!H138</f>
        <v>0</v>
      </c>
      <c r="J7" s="95"/>
      <c r="K7" s="95">
        <f ca="1">+'Intermediate Calcs'!I136+'Intermediate Calcs'!I138</f>
        <v>0</v>
      </c>
      <c r="L7" s="23">
        <f ca="1">SUM(C7:K7)</f>
        <v>0</v>
      </c>
      <c r="M7" s="2"/>
      <c r="N7" s="154"/>
      <c r="O7" s="154"/>
      <c r="P7" s="154"/>
      <c r="Q7" s="154"/>
      <c r="R7" s="154"/>
      <c r="S7" s="154"/>
      <c r="T7" s="154"/>
      <c r="U7" s="154"/>
    </row>
    <row r="8" spans="1:21" ht="15.75" thickBot="1" x14ac:dyDescent="0.3">
      <c r="A8" s="3" t="s">
        <v>74</v>
      </c>
      <c r="B8" s="3"/>
      <c r="C8" s="95">
        <f ca="1">+'Intermediate Calcs'!E146</f>
        <v>0</v>
      </c>
      <c r="D8" s="95"/>
      <c r="E8" s="95">
        <f ca="1">+'Intermediate Calcs'!F146</f>
        <v>0</v>
      </c>
      <c r="F8" s="95"/>
      <c r="G8" s="95">
        <f ca="1">+'Intermediate Calcs'!G146</f>
        <v>0</v>
      </c>
      <c r="H8" s="95"/>
      <c r="I8" s="95">
        <f ca="1">+'Intermediate Calcs'!H146</f>
        <v>0</v>
      </c>
      <c r="J8" s="95"/>
      <c r="K8" s="95">
        <f ca="1">+'Intermediate Calcs'!I146</f>
        <v>0</v>
      </c>
      <c r="L8" s="23">
        <f ca="1">SUM(C8:K8)</f>
        <v>0</v>
      </c>
      <c r="M8" s="2"/>
      <c r="N8" s="154"/>
      <c r="O8" s="56" t="s">
        <v>135</v>
      </c>
      <c r="P8" s="59">
        <f>+C5</f>
        <v>2019</v>
      </c>
      <c r="Q8" s="59">
        <f>+E5</f>
        <v>2020</v>
      </c>
      <c r="R8" s="59">
        <f>+G5</f>
        <v>2021</v>
      </c>
      <c r="S8" s="59">
        <f>+I5</f>
        <v>2022</v>
      </c>
      <c r="T8" s="59">
        <f>+K5</f>
        <v>2023</v>
      </c>
      <c r="U8" s="55" t="s">
        <v>0</v>
      </c>
    </row>
    <row r="9" spans="1:21" ht="16.5" thickTop="1" thickBot="1" x14ac:dyDescent="0.3">
      <c r="A9" s="106"/>
      <c r="B9" s="106"/>
      <c r="C9" s="107"/>
      <c r="D9" s="107"/>
      <c r="E9" s="107"/>
      <c r="F9" s="107"/>
      <c r="G9" s="107"/>
      <c r="H9" s="107"/>
      <c r="I9" s="107"/>
      <c r="J9" s="107"/>
      <c r="K9" s="107"/>
      <c r="L9" s="108"/>
      <c r="M9" s="2"/>
      <c r="O9" s="145" t="s">
        <v>137</v>
      </c>
      <c r="P9" s="146">
        <f ca="1">+'Intermediate Calcs'!E155</f>
        <v>0</v>
      </c>
      <c r="Q9" s="146">
        <f ca="1">+'Intermediate Calcs'!F155</f>
        <v>0</v>
      </c>
      <c r="R9" s="146">
        <f ca="1">+'Intermediate Calcs'!G155</f>
        <v>0</v>
      </c>
      <c r="S9" s="146">
        <f ca="1">+'Intermediate Calcs'!H155</f>
        <v>0</v>
      </c>
      <c r="T9" s="146">
        <f ca="1">+'Intermediate Calcs'!I155</f>
        <v>0</v>
      </c>
      <c r="U9" s="146">
        <f ca="1">SUM(P9:T9)</f>
        <v>0</v>
      </c>
    </row>
    <row r="10" spans="1:21" s="154" customFormat="1" ht="16.5" thickTop="1" thickBot="1" x14ac:dyDescent="0.3">
      <c r="A10" s="157"/>
      <c r="B10" s="157"/>
      <c r="C10" s="29"/>
      <c r="D10" s="29"/>
      <c r="E10" s="29"/>
      <c r="F10" s="29"/>
      <c r="G10" s="29"/>
      <c r="H10" s="29"/>
      <c r="I10" s="29"/>
      <c r="J10" s="29"/>
      <c r="K10" s="29"/>
      <c r="L10" s="181"/>
      <c r="M10" s="155"/>
      <c r="O10" s="145" t="s">
        <v>138</v>
      </c>
      <c r="P10" s="146">
        <f ca="1">+'Intermediate Calcs'!E163</f>
        <v>0</v>
      </c>
      <c r="Q10" s="146">
        <f ca="1">+'Intermediate Calcs'!F163</f>
        <v>0</v>
      </c>
      <c r="R10" s="146">
        <f ca="1">+'Intermediate Calcs'!G163</f>
        <v>0</v>
      </c>
      <c r="S10" s="146">
        <f ca="1">+'Intermediate Calcs'!H163</f>
        <v>0</v>
      </c>
      <c r="T10" s="146">
        <f ca="1">+'Intermediate Calcs'!I163</f>
        <v>0</v>
      </c>
      <c r="U10" s="146">
        <f ca="1">SUM(P10:T10)</f>
        <v>0</v>
      </c>
    </row>
    <row r="11" spans="1:21" ht="15.75" thickTop="1" x14ac:dyDescent="0.25">
      <c r="A11" s="2"/>
      <c r="B11" s="155"/>
      <c r="C11" s="26"/>
      <c r="D11" s="26"/>
      <c r="E11" s="26"/>
      <c r="F11" s="26"/>
      <c r="G11" s="26"/>
      <c r="H11" s="26"/>
      <c r="I11" s="26"/>
      <c r="J11" s="26"/>
      <c r="K11" s="26"/>
      <c r="L11" s="105"/>
      <c r="M11" s="2"/>
      <c r="O11" s="145" t="s">
        <v>95</v>
      </c>
      <c r="P11" s="146">
        <f ca="1">+P9-P10</f>
        <v>0</v>
      </c>
      <c r="Q11" s="146">
        <f ca="1">+Q9-Q10</f>
        <v>0</v>
      </c>
      <c r="R11" s="146">
        <f ca="1">+R9-R10</f>
        <v>0</v>
      </c>
      <c r="S11" s="146">
        <f ca="1">+S9-S10</f>
        <v>0</v>
      </c>
      <c r="T11" s="146">
        <f ca="1">+T9-T10</f>
        <v>0</v>
      </c>
      <c r="U11" s="146">
        <f ca="1">SUM(P11:T11)</f>
        <v>0</v>
      </c>
    </row>
    <row r="12" spans="1:21" ht="15" x14ac:dyDescent="0.25">
      <c r="A12" s="2"/>
      <c r="B12" s="155"/>
      <c r="C12" s="26"/>
      <c r="D12" s="26"/>
      <c r="E12" s="26"/>
      <c r="F12" s="26"/>
      <c r="G12" s="26"/>
      <c r="H12" s="26"/>
      <c r="I12" s="26"/>
      <c r="J12" s="26"/>
      <c r="K12" s="26"/>
      <c r="L12" s="105"/>
      <c r="M12" s="2"/>
      <c r="R12" s="9"/>
      <c r="S12" s="9"/>
      <c r="T12" s="9"/>
    </row>
    <row r="13" spans="1:21" ht="15.75" x14ac:dyDescent="0.25">
      <c r="A13" s="58" t="s">
        <v>134</v>
      </c>
      <c r="B13" s="424" t="s">
        <v>205</v>
      </c>
      <c r="C13" s="59">
        <f>+INPUT!E38</f>
        <v>2019</v>
      </c>
      <c r="D13" s="168" t="s">
        <v>205</v>
      </c>
      <c r="E13" s="59">
        <f>+C13+1</f>
        <v>2020</v>
      </c>
      <c r="F13" s="168" t="s">
        <v>205</v>
      </c>
      <c r="G13" s="59">
        <f>+E13+1</f>
        <v>2021</v>
      </c>
      <c r="H13" s="168" t="s">
        <v>205</v>
      </c>
      <c r="I13" s="59">
        <f>+G13+1</f>
        <v>2022</v>
      </c>
      <c r="J13" s="168" t="s">
        <v>205</v>
      </c>
      <c r="K13" s="59">
        <f>+I13+1</f>
        <v>2023</v>
      </c>
      <c r="L13" s="65" t="s">
        <v>0</v>
      </c>
      <c r="M13" s="2"/>
      <c r="N13" s="171"/>
      <c r="P13" s="471" t="s">
        <v>51</v>
      </c>
      <c r="Q13" s="472"/>
      <c r="R13" s="472"/>
      <c r="S13" s="472"/>
      <c r="T13" s="472"/>
      <c r="U13" s="473"/>
    </row>
    <row r="14" spans="1:21" ht="15" x14ac:dyDescent="0.25">
      <c r="A14" s="6" t="s">
        <v>209</v>
      </c>
      <c r="B14" s="246">
        <f ca="1">(1-INPUT!$K$27)*'Intermediate Calcs'!E$131</f>
        <v>0</v>
      </c>
      <c r="C14" s="170">
        <f>IF(INPUT!$E$12="yes",(Proprietary!C$18)*((1-INPUT!$K$27)*'Intermediate Calcs'!E131),IF(INPUT!$F$12="yes",(Proprietary!D$18)*((1-INPUT!$K$27)*'Intermediate Calcs'!E131),IF(INPUT!$G$12="yes",(Proprietary!E$18)*((1-INPUT!$K$27)*'Intermediate Calcs'!E131),IF(INPUT!$H$12="yes",(Proprietary!F$18)*((1-INPUT!$K$27)*'Intermediate Calcs'!E131),IF(INPUT!$I$12="yes",(Proprietary!G$18)*((1-INPUT!$K$27)*'Intermediate Calcs'!E131),IF(INPUT!$J$12="yes",(Proprietary!H$18)*((1-INPUT!$K$27)*'Intermediate Calcs'!E131),IF(INPUT!$K$12="yes",(Proprietary!I$18)*((1-INPUT!$K$27)*'Intermediate Calcs'!E131),IF(INPUT!$L$12="yes",(Proprietary!J$18)*((1-INPUT!$K$27)*'Intermediate Calcs'!E131),IF(INPUT!$M$12="yes",(Proprietary!K$18)*((1-INPUT!$K$27)*'Intermediate Calcs'!E131),0)))))))))</f>
        <v>0</v>
      </c>
      <c r="D14" s="246">
        <f ca="1">(1-INPUT!$K$27)*'Intermediate Calcs'!F$131</f>
        <v>0</v>
      </c>
      <c r="E14" s="170">
        <f>IF(INPUT!$E$12="yes",(Proprietary!$C21)*((1-INPUT!$K$27)*'Intermediate Calcs'!F131),IF(INPUT!$F$12="yes",(Proprietary!$D21)*((1-INPUT!$K$27)*'Intermediate Calcs'!F131),IF(INPUT!$G$12="yes",(Proprietary!$E21)*((1-INPUT!$K$27)*'Intermediate Calcs'!F131),IF(INPUT!$H$12="yes",(Proprietary!$F21)*((1-INPUT!$K$27)*'Intermediate Calcs'!F131),IF(INPUT!$I$12="yes",(Proprietary!$G21)*((1-INPUT!$K$27)*'Intermediate Calcs'!F131),IF(INPUT!$J$12="yes",(Proprietary!$H21)*((1-INPUT!$K$27)*'Intermediate Calcs'!F131),IF(INPUT!$K$12="yes",(Proprietary!$I21)*((1-INPUT!$K$27)*'Intermediate Calcs'!F131),IF(INPUT!$L$12="yes",(Proprietary!$J21)*((1-INPUT!$K$27)*'Intermediate Calcs'!F131),IF(INPUT!$M$12="yes",(Proprietary!$K21)*((1-INPUT!$K$27)*'Intermediate Calcs'!F131),0)))))))))</f>
        <v>0</v>
      </c>
      <c r="F14" s="246">
        <f ca="1">(1-INPUT!$K$27)*'Intermediate Calcs'!G$131</f>
        <v>0</v>
      </c>
      <c r="G14" s="170">
        <f>IF(INPUT!$E$12="yes",(Proprietary!$C24)*((1-INPUT!$K$27)*'Intermediate Calcs'!G131),IF(INPUT!$F$12="yes",(Proprietary!$D24)*((1-INPUT!$K$27)*'Intermediate Calcs'!G131),IF(INPUT!$G$12="yes",(Proprietary!$E24)*((1-INPUT!$K$27)*'Intermediate Calcs'!G131),IF(INPUT!$H$12="yes",(Proprietary!$F24)*((1-INPUT!$K$27)*'Intermediate Calcs'!G131),IF(INPUT!$I$12="yes",(Proprietary!$G24)*((1-INPUT!$K$27)*'Intermediate Calcs'!G131),IF(INPUT!$J$12="yes",(Proprietary!$H24)*((1-INPUT!$K$27)*'Intermediate Calcs'!G131),IF(INPUT!$K$12="yes",(Proprietary!$I24)*((1-INPUT!$K$27)*'Intermediate Calcs'!G131),IF(INPUT!$L$12="yes",(Proprietary!$J24)*((1-INPUT!$K$27)*'Intermediate Calcs'!G131),IF(INPUT!$M$12="yes",(Proprietary!$K24)*((1-INPUT!$K$27)*'Intermediate Calcs'!G131),0)))))))))</f>
        <v>0</v>
      </c>
      <c r="H14" s="246">
        <f ca="1">(1-INPUT!$K$27)*'Intermediate Calcs'!H$131</f>
        <v>0</v>
      </c>
      <c r="I14" s="170">
        <f>IF(INPUT!$E$12="yes",(Proprietary!$C27)*((1-INPUT!$K$27)*'Intermediate Calcs'!H131),IF(INPUT!$F$12="yes",(Proprietary!$D27)*((1-INPUT!$K$27)*'Intermediate Calcs'!H131),IF(INPUT!$G$12="yes",(Proprietary!$E27)*((1-INPUT!$K$27)*'Intermediate Calcs'!H131),IF(INPUT!$H$12="yes",(Proprietary!$F27)*((1-INPUT!$K$27)*'Intermediate Calcs'!H131),IF(INPUT!$I$12="yes",(Proprietary!$G27)*((1-INPUT!$K$27)*'Intermediate Calcs'!H131),IF(INPUT!$J$12="yes",(Proprietary!$H27)*((1-INPUT!$K$27)*'Intermediate Calcs'!H131),IF(INPUT!$K$12="yes",(Proprietary!$I27)*((1-INPUT!$K$27)*'Intermediate Calcs'!H131),IF(INPUT!$L$12="yes",(Proprietary!$J27)*((1-INPUT!$K$27)*'Intermediate Calcs'!H131),IF(INPUT!$M$12="yes",(Proprietary!$K27)*((1-INPUT!$K$27)*'Intermediate Calcs'!H131),0)))))))))</f>
        <v>0</v>
      </c>
      <c r="J14" s="246">
        <f ca="1">(1-INPUT!$K$27)*'Intermediate Calcs'!I$131</f>
        <v>0</v>
      </c>
      <c r="K14" s="170">
        <f>IF(INPUT!$E$12="yes",(Proprietary!$C30)*((1-INPUT!$K$27)*'Intermediate Calcs'!I131),IF(INPUT!$F$12="yes",(Proprietary!$D30)*((1-INPUT!$K$27)*'Intermediate Calcs'!I131),IF(INPUT!$G$12="yes",(Proprietary!$E30)*((1-INPUT!$K$27)*'Intermediate Calcs'!I131),IF(INPUT!$H$12="yes",(Proprietary!$F30)*((1-INPUT!$K$27)*'Intermediate Calcs'!I131),IF(INPUT!$I$12="yes",(Proprietary!$G30)*((1-INPUT!$K$27)*'Intermediate Calcs'!I131),IF(INPUT!$J$12="yes",(Proprietary!$H30)*((1-INPUT!$K$27)*'Intermediate Calcs'!I131),IF(INPUT!$K$12="yes",(Proprietary!$I30)*((1-INPUT!$K$27)*'Intermediate Calcs'!I131),IF(INPUT!$L$12="yes",(Proprietary!$J30)*((1-INPUT!$K$27)*'Intermediate Calcs'!I131),IF(INPUT!$M$12="yes",(Proprietary!$K30)*((1-INPUT!$K$27)*'Intermediate Calcs'!I131),0)))))))))</f>
        <v>0</v>
      </c>
      <c r="L14" s="22">
        <f t="shared" ref="L14:L48" ca="1" si="0">SUM(C14:K14)</f>
        <v>0</v>
      </c>
      <c r="M14" s="2"/>
      <c r="N14" s="171"/>
      <c r="P14" s="59">
        <f>+P8</f>
        <v>2019</v>
      </c>
      <c r="Q14" s="59">
        <f>+Q8</f>
        <v>2020</v>
      </c>
      <c r="R14" s="59">
        <f>+R8</f>
        <v>2021</v>
      </c>
      <c r="S14" s="59">
        <f>+S8</f>
        <v>2022</v>
      </c>
      <c r="T14" s="59">
        <f>+T8</f>
        <v>2023</v>
      </c>
      <c r="U14" s="59" t="s">
        <v>0</v>
      </c>
    </row>
    <row r="15" spans="1:21" ht="15" x14ac:dyDescent="0.25">
      <c r="A15" s="6" t="s">
        <v>202</v>
      </c>
      <c r="B15" s="246">
        <f ca="1">(INPUT!$K$27)*'Intermediate Calcs'!E$131</f>
        <v>0</v>
      </c>
      <c r="C15" s="170">
        <f ca="1">INPUT!$K$27*'Intermediate Calcs'!E$131*Proprietary!$L18</f>
        <v>0</v>
      </c>
      <c r="D15" s="246">
        <f ca="1">(INPUT!$K$27)*'Intermediate Calcs'!F$131</f>
        <v>0</v>
      </c>
      <c r="E15" s="170">
        <f ca="1">INPUT!$K$27*'Intermediate Calcs'!F$131*Proprietary!$L21</f>
        <v>0</v>
      </c>
      <c r="F15" s="246">
        <f ca="1">(INPUT!$K$27)*'Intermediate Calcs'!G$131</f>
        <v>0</v>
      </c>
      <c r="G15" s="170">
        <f ca="1">INPUT!$K$27*'Intermediate Calcs'!G$131*Proprietary!$L24</f>
        <v>0</v>
      </c>
      <c r="H15" s="246">
        <f ca="1">(INPUT!$K$27)*'Intermediate Calcs'!H$131</f>
        <v>0</v>
      </c>
      <c r="I15" s="170">
        <f ca="1">INPUT!$K$27*'Intermediate Calcs'!H$131*Proprietary!$L27</f>
        <v>0</v>
      </c>
      <c r="J15" s="246">
        <f ca="1">(INPUT!$K$27)*'Intermediate Calcs'!I$131</f>
        <v>0</v>
      </c>
      <c r="K15" s="170">
        <f ca="1">INPUT!$K$27*'Intermediate Calcs'!I$131*Proprietary!$L30</f>
        <v>0</v>
      </c>
      <c r="L15" s="22">
        <f t="shared" ca="1" si="0"/>
        <v>0</v>
      </c>
      <c r="M15" s="2"/>
      <c r="N15" s="171"/>
      <c r="P15" s="144">
        <f ca="1">P11-C49</f>
        <v>0</v>
      </c>
      <c r="Q15" s="144">
        <f ca="1">Q11-E49</f>
        <v>0</v>
      </c>
      <c r="R15" s="144">
        <f ca="1">R11-G49</f>
        <v>0</v>
      </c>
      <c r="S15" s="144">
        <f ca="1">S11-I49</f>
        <v>0</v>
      </c>
      <c r="T15" s="144">
        <f ca="1">T11-K49</f>
        <v>0</v>
      </c>
      <c r="U15" s="144">
        <f ca="1">SUM(P15:T15)</f>
        <v>0</v>
      </c>
    </row>
    <row r="16" spans="1:21" ht="15" x14ac:dyDescent="0.25">
      <c r="A16" s="158" t="s">
        <v>121</v>
      </c>
      <c r="B16" s="158"/>
      <c r="C16" s="159">
        <f>INPUT!E42</f>
        <v>0</v>
      </c>
      <c r="D16" s="159"/>
      <c r="E16" s="159">
        <f>INPUT!F42</f>
        <v>0</v>
      </c>
      <c r="F16" s="159"/>
      <c r="G16" s="159">
        <f>INPUT!G42</f>
        <v>0</v>
      </c>
      <c r="H16" s="159"/>
      <c r="I16" s="156">
        <f>G16*Assumptions!$E$10+G16</f>
        <v>0</v>
      </c>
      <c r="J16" s="156"/>
      <c r="K16" s="156">
        <f>I16*Assumptions!$F$10+I16</f>
        <v>0</v>
      </c>
      <c r="L16" s="162">
        <f t="shared" si="0"/>
        <v>0</v>
      </c>
      <c r="M16" s="155"/>
      <c r="N16" s="171"/>
    </row>
    <row r="17" spans="1:25" s="154" customFormat="1" ht="15" x14ac:dyDescent="0.25">
      <c r="A17" s="6" t="s">
        <v>7</v>
      </c>
      <c r="B17" s="158"/>
      <c r="C17" s="7">
        <f>INPUT!E41</f>
        <v>0</v>
      </c>
      <c r="D17" s="159"/>
      <c r="E17" s="7">
        <f>INPUT!F41</f>
        <v>0</v>
      </c>
      <c r="F17" s="159"/>
      <c r="G17" s="7">
        <f>INPUT!G41</f>
        <v>0</v>
      </c>
      <c r="H17" s="159"/>
      <c r="I17" s="4">
        <f>G17*Assumptions!$E$10+G17</f>
        <v>0</v>
      </c>
      <c r="J17" s="156"/>
      <c r="K17" s="4">
        <f>I17*Assumptions!$F$10+I17</f>
        <v>0</v>
      </c>
      <c r="L17" s="22">
        <f t="shared" si="0"/>
        <v>0</v>
      </c>
      <c r="M17" s="2"/>
      <c r="N17" s="171"/>
    </row>
    <row r="18" spans="1:25" ht="15" x14ac:dyDescent="0.25">
      <c r="A18" s="6" t="str">
        <f>+INPUT!C45</f>
        <v>Advisor (w/o benefits)</v>
      </c>
      <c r="B18" s="158"/>
      <c r="C18" s="7">
        <f>INPUT!E45</f>
        <v>0</v>
      </c>
      <c r="D18" s="159"/>
      <c r="E18" s="7">
        <f>INPUT!F45</f>
        <v>0</v>
      </c>
      <c r="F18" s="159"/>
      <c r="G18" s="7">
        <f>INPUT!G45</f>
        <v>0</v>
      </c>
      <c r="H18" s="159"/>
      <c r="I18" s="4">
        <f>G18*Assumptions!$E$10+G18</f>
        <v>0</v>
      </c>
      <c r="J18" s="156"/>
      <c r="K18" s="4">
        <f>I18*Assumptions!$F$10+I18</f>
        <v>0</v>
      </c>
      <c r="L18" s="22">
        <f>SUM(C18:K18)</f>
        <v>0</v>
      </c>
      <c r="M18" s="155"/>
      <c r="N18" s="171"/>
      <c r="O18" s="30" t="s">
        <v>9</v>
      </c>
      <c r="P18" s="31"/>
      <c r="Q18" s="6">
        <f>+INPUT!K19</f>
        <v>123</v>
      </c>
    </row>
    <row r="19" spans="1:25" s="154" customFormat="1" ht="15" x14ac:dyDescent="0.25">
      <c r="A19" s="180" t="s">
        <v>117</v>
      </c>
      <c r="B19" s="180"/>
      <c r="C19" s="7">
        <f>INPUT!E39</f>
        <v>0</v>
      </c>
      <c r="D19" s="159"/>
      <c r="E19" s="7">
        <f>INPUT!F39</f>
        <v>0</v>
      </c>
      <c r="F19" s="159"/>
      <c r="G19" s="7">
        <f>INPUT!G39</f>
        <v>0</v>
      </c>
      <c r="H19" s="159"/>
      <c r="I19" s="4">
        <f>IF(G19&lt;25000,G19,G19*(1+Assumptions!E10))</f>
        <v>0</v>
      </c>
      <c r="J19" s="156"/>
      <c r="K19" s="4">
        <f>IF(I19&lt;25000,I19,I19*(1+Assumptions!F10))</f>
        <v>0</v>
      </c>
      <c r="L19" s="22">
        <f>SUM(C19:K19)</f>
        <v>0</v>
      </c>
      <c r="M19" s="155"/>
      <c r="N19" s="171"/>
      <c r="O19" s="174"/>
      <c r="P19" s="157"/>
      <c r="Q19" s="161"/>
    </row>
    <row r="20" spans="1:25" s="154" customFormat="1" ht="15" x14ac:dyDescent="0.25">
      <c r="A20" s="38" t="s">
        <v>1</v>
      </c>
      <c r="B20" s="166"/>
      <c r="C20" s="7">
        <f ca="1">SUM(C14:C19)*Assumptions!$B$54</f>
        <v>0</v>
      </c>
      <c r="D20" s="159"/>
      <c r="E20" s="159">
        <f ca="1">SUM(E14:E19)*Assumptions!$B$54</f>
        <v>0</v>
      </c>
      <c r="F20" s="159"/>
      <c r="G20" s="159">
        <f ca="1">SUM(G14:G19)*Assumptions!$B$54</f>
        <v>0</v>
      </c>
      <c r="H20" s="159"/>
      <c r="I20" s="159">
        <f ca="1">SUM(I14:I19)*Assumptions!$B$54</f>
        <v>0</v>
      </c>
      <c r="J20" s="159"/>
      <c r="K20" s="159">
        <f ca="1">SUM(K14:K19)*Assumptions!$B$54</f>
        <v>0</v>
      </c>
      <c r="L20" s="22">
        <f t="shared" ca="1" si="0"/>
        <v>0</v>
      </c>
      <c r="M20" s="2"/>
      <c r="N20" s="171"/>
      <c r="O20" s="174"/>
      <c r="P20" s="157"/>
      <c r="Q20" s="161"/>
    </row>
    <row r="21" spans="1:25" ht="15" x14ac:dyDescent="0.25">
      <c r="A21" s="6"/>
      <c r="B21" s="158"/>
      <c r="C21" s="7"/>
      <c r="D21" s="159"/>
      <c r="E21" s="7"/>
      <c r="F21" s="159"/>
      <c r="G21" s="7"/>
      <c r="H21" s="159"/>
      <c r="I21" s="4"/>
      <c r="J21" s="156"/>
      <c r="K21" s="4"/>
      <c r="L21" s="22"/>
      <c r="M21" s="2"/>
      <c r="N21" s="172"/>
      <c r="S21" s="5"/>
      <c r="T21" s="5"/>
    </row>
    <row r="22" spans="1:25" x14ac:dyDescent="0.2">
      <c r="M22" s="2"/>
      <c r="N22" s="173"/>
    </row>
    <row r="23" spans="1:25" s="154" customFormat="1" ht="15" x14ac:dyDescent="0.25">
      <c r="A23" s="158" t="str">
        <f>+INPUT!C40</f>
        <v>Adjunct Salaries</v>
      </c>
      <c r="B23" s="158"/>
      <c r="C23" s="159">
        <f>+INPUT!E40</f>
        <v>0</v>
      </c>
      <c r="D23" s="159"/>
      <c r="E23" s="159">
        <f>+INPUT!F40</f>
        <v>0</v>
      </c>
      <c r="F23" s="159"/>
      <c r="G23" s="159">
        <f>+INPUT!G40</f>
        <v>0</v>
      </c>
      <c r="H23" s="159"/>
      <c r="I23" s="156">
        <f>G23*Assumptions!$E$10+G23</f>
        <v>0</v>
      </c>
      <c r="J23" s="156"/>
      <c r="K23" s="156">
        <f>I23*Assumptions!$F$10+I23</f>
        <v>0</v>
      </c>
      <c r="L23" s="162">
        <f>SUM(C23:K23)</f>
        <v>0</v>
      </c>
      <c r="M23" s="155"/>
      <c r="N23" s="171"/>
      <c r="O23" s="174"/>
      <c r="P23" s="157"/>
      <c r="Q23" s="161"/>
    </row>
    <row r="24" spans="1:25" ht="15" x14ac:dyDescent="0.25">
      <c r="A24" s="6" t="s">
        <v>81</v>
      </c>
      <c r="B24" s="158"/>
      <c r="C24" s="7">
        <f>INPUT!E44</f>
        <v>0</v>
      </c>
      <c r="D24" s="159"/>
      <c r="E24" s="7">
        <f>INPUT!F44</f>
        <v>0</v>
      </c>
      <c r="F24" s="159"/>
      <c r="G24" s="7">
        <f>INPUT!G44</f>
        <v>0</v>
      </c>
      <c r="H24" s="159"/>
      <c r="I24" s="7">
        <f>G24*Assumptions!$E$10+G24</f>
        <v>0</v>
      </c>
      <c r="J24" s="159"/>
      <c r="K24" s="7">
        <f>I24*Assumptions!$F$10+I24</f>
        <v>0</v>
      </c>
      <c r="L24" s="116">
        <f>SUM(C24:K24)</f>
        <v>0</v>
      </c>
      <c r="M24" s="155"/>
      <c r="N24" s="173"/>
    </row>
    <row r="25" spans="1:25" s="154" customFormat="1" ht="15" x14ac:dyDescent="0.25">
      <c r="A25" s="38" t="s">
        <v>2</v>
      </c>
      <c r="B25" s="166"/>
      <c r="C25" s="7">
        <f>SUM(C22:C24)*Assumptions!$B$55</f>
        <v>0</v>
      </c>
      <c r="D25" s="159"/>
      <c r="E25" s="159">
        <f>SUM(E22:E24)*Assumptions!$B$55</f>
        <v>0</v>
      </c>
      <c r="F25" s="159"/>
      <c r="G25" s="159">
        <f>SUM(G22:G24)*Assumptions!$B$55</f>
        <v>0</v>
      </c>
      <c r="H25" s="159"/>
      <c r="I25" s="159">
        <f>SUM(I22:I24)*Assumptions!$B$55</f>
        <v>0</v>
      </c>
      <c r="J25" s="159"/>
      <c r="K25" s="159">
        <f>SUM(K22:K24)*Assumptions!$B$55</f>
        <v>0</v>
      </c>
      <c r="L25" s="22">
        <f t="shared" si="0"/>
        <v>0</v>
      </c>
      <c r="M25" s="2"/>
      <c r="N25" s="470" t="s">
        <v>119</v>
      </c>
      <c r="O25" s="44" t="s">
        <v>47</v>
      </c>
    </row>
    <row r="26" spans="1:25" x14ac:dyDescent="0.2">
      <c r="M26" s="2"/>
      <c r="N26" s="470"/>
      <c r="O26" s="164">
        <f>C5</f>
        <v>2019</v>
      </c>
      <c r="P26" s="124">
        <f>LOOKUP(O26,'Intermediate Calcs'!$R$159:$V$159,'Intermediate Calcs'!$R$160:$V$160)</f>
        <v>40574.639353499995</v>
      </c>
      <c r="Q26" s="154"/>
      <c r="Y26" s="124">
        <f ca="1">LOOKUP(O26,Assumptions!$B$13:$J$19,Assumptions!$B$14:$F$14)</f>
        <v>0</v>
      </c>
    </row>
    <row r="27" spans="1:25" ht="15" x14ac:dyDescent="0.25">
      <c r="A27" s="6" t="s">
        <v>118</v>
      </c>
      <c r="B27" s="158"/>
      <c r="C27" s="170">
        <f>INPUT!E46</f>
        <v>0</v>
      </c>
      <c r="D27" s="170"/>
      <c r="E27" s="170">
        <f>INPUT!F46</f>
        <v>0</v>
      </c>
      <c r="F27" s="170"/>
      <c r="G27" s="170">
        <f>INPUT!G46</f>
        <v>0</v>
      </c>
      <c r="H27" s="170"/>
      <c r="I27" s="170">
        <f>G27*Assumptions!$E$10+G27</f>
        <v>0</v>
      </c>
      <c r="J27" s="170"/>
      <c r="K27" s="170">
        <f>I27*Assumptions!$F$10+I27</f>
        <v>0</v>
      </c>
      <c r="L27" s="22">
        <f>SUM(C27:K27)</f>
        <v>0</v>
      </c>
      <c r="M27" s="2"/>
      <c r="N27" s="470"/>
      <c r="O27" s="35">
        <f>O26+1</f>
        <v>2020</v>
      </c>
      <c r="P27" s="124">
        <f>LOOKUP(O27,'Intermediate Calcs'!$R$159:$V$159,'Intermediate Calcs'!$R$160:$V$160)</f>
        <v>41994.751730872493</v>
      </c>
    </row>
    <row r="28" spans="1:25" ht="15" x14ac:dyDescent="0.25">
      <c r="A28" s="6" t="str">
        <f>+INPUT!C47</f>
        <v>Student Salaries</v>
      </c>
      <c r="B28" s="158"/>
      <c r="C28" s="7">
        <f>INPUT!E47</f>
        <v>0</v>
      </c>
      <c r="D28" s="159"/>
      <c r="E28" s="7">
        <f>INPUT!F47</f>
        <v>0</v>
      </c>
      <c r="F28" s="159"/>
      <c r="G28" s="7">
        <f>INPUT!G47</f>
        <v>0</v>
      </c>
      <c r="H28" s="159"/>
      <c r="I28" s="4">
        <f>G28*Assumptions!$E$10+G28</f>
        <v>0</v>
      </c>
      <c r="J28" s="156"/>
      <c r="K28" s="4">
        <f>I28*Assumptions!$F$10+I28</f>
        <v>0</v>
      </c>
      <c r="L28" s="22">
        <f t="shared" si="0"/>
        <v>0</v>
      </c>
      <c r="M28" s="2"/>
      <c r="N28" s="470"/>
      <c r="O28" s="35">
        <f>O27+1</f>
        <v>2021</v>
      </c>
      <c r="P28" s="124">
        <f>LOOKUP(O28,'Intermediate Calcs'!$R$159:$V$159,'Intermediate Calcs'!$R$160:$V$160)</f>
        <v>41994.751730872493</v>
      </c>
    </row>
    <row r="29" spans="1:25" ht="15" x14ac:dyDescent="0.25">
      <c r="A29" s="6" t="str">
        <f>+INPUT!C48</f>
        <v>Computer Supplies</v>
      </c>
      <c r="B29" s="158"/>
      <c r="C29" s="7">
        <f>INPUT!E48</f>
        <v>0</v>
      </c>
      <c r="D29" s="159"/>
      <c r="E29" s="7">
        <f>INPUT!F48</f>
        <v>0</v>
      </c>
      <c r="F29" s="159"/>
      <c r="G29" s="7">
        <f>INPUT!G48</f>
        <v>0</v>
      </c>
      <c r="H29" s="159"/>
      <c r="I29" s="4">
        <f>G29*Assumptions!$E$10+G29</f>
        <v>0</v>
      </c>
      <c r="J29" s="156"/>
      <c r="K29" s="4">
        <f>I29*Assumptions!$F$10+I29</f>
        <v>0</v>
      </c>
      <c r="L29" s="22">
        <f t="shared" si="0"/>
        <v>0</v>
      </c>
      <c r="M29" s="2"/>
      <c r="N29" s="470"/>
      <c r="O29" s="35">
        <f>O28+1</f>
        <v>2022</v>
      </c>
      <c r="P29" s="124">
        <f>LOOKUP(O29,'Intermediate Calcs'!$R$159:$V$159,'Intermediate Calcs'!$R$160:$V$160)</f>
        <v>41994.751730872493</v>
      </c>
    </row>
    <row r="30" spans="1:25" ht="15" x14ac:dyDescent="0.25">
      <c r="A30" s="6" t="str">
        <f>+INPUT!C49</f>
        <v>Instructional Supplies</v>
      </c>
      <c r="B30" s="158"/>
      <c r="C30" s="7">
        <f>INPUT!E49</f>
        <v>0</v>
      </c>
      <c r="D30" s="159"/>
      <c r="E30" s="7">
        <f>INPUT!F49</f>
        <v>0</v>
      </c>
      <c r="F30" s="159"/>
      <c r="G30" s="7">
        <f>INPUT!G49</f>
        <v>0</v>
      </c>
      <c r="H30" s="159"/>
      <c r="I30" s="4">
        <f>G30*Assumptions!$E$10+G30</f>
        <v>0</v>
      </c>
      <c r="J30" s="156"/>
      <c r="K30" s="4">
        <f>I30*Assumptions!$F$10+I30</f>
        <v>0</v>
      </c>
      <c r="L30" s="22">
        <f t="shared" si="0"/>
        <v>0</v>
      </c>
      <c r="M30" s="2"/>
      <c r="N30" s="470"/>
      <c r="O30" s="35">
        <f>O29+1</f>
        <v>2023</v>
      </c>
      <c r="P30" s="124">
        <f>LOOKUP(O30,'Intermediate Calcs'!$R$159:$V$159,'Intermediate Calcs'!$R$160:$V$160)</f>
        <v>41994.751730872493</v>
      </c>
    </row>
    <row r="31" spans="1:25" ht="15" x14ac:dyDescent="0.25">
      <c r="A31" s="6" t="str">
        <f>+INPUT!C56</f>
        <v>Retention/Student Initiatives</v>
      </c>
      <c r="B31" s="158"/>
      <c r="C31" s="7">
        <f ca="1">INPUT!E56</f>
        <v>0</v>
      </c>
      <c r="D31" s="159"/>
      <c r="E31" s="7">
        <f ca="1">INPUT!F56</f>
        <v>0</v>
      </c>
      <c r="F31" s="159"/>
      <c r="G31" s="7">
        <f ca="1">INPUT!G56</f>
        <v>0</v>
      </c>
      <c r="H31" s="159"/>
      <c r="I31" s="4">
        <f ca="1">G31*Assumptions!$E$10+G31</f>
        <v>0</v>
      </c>
      <c r="J31" s="156"/>
      <c r="K31" s="4">
        <f ca="1">I31*Assumptions!$F$10+I31</f>
        <v>0</v>
      </c>
      <c r="L31" s="22">
        <f t="shared" ca="1" si="0"/>
        <v>0</v>
      </c>
      <c r="M31" s="2"/>
      <c r="N31" s="470"/>
    </row>
    <row r="32" spans="1:25" ht="15" x14ac:dyDescent="0.25">
      <c r="A32" s="6" t="str">
        <f>+INPUT!C50</f>
        <v>Professional Development/Travel</v>
      </c>
      <c r="B32" s="158"/>
      <c r="C32" s="7">
        <f>INPUT!E50</f>
        <v>0</v>
      </c>
      <c r="D32" s="159"/>
      <c r="E32" s="7">
        <f>INPUT!F50</f>
        <v>0</v>
      </c>
      <c r="F32" s="159"/>
      <c r="G32" s="7">
        <f>INPUT!G50</f>
        <v>0</v>
      </c>
      <c r="H32" s="159"/>
      <c r="I32" s="4">
        <f>G32*Assumptions!$E$10+G32</f>
        <v>0</v>
      </c>
      <c r="J32" s="156"/>
      <c r="K32" s="4">
        <f>I32*Assumptions!$F$10+I32</f>
        <v>0</v>
      </c>
      <c r="L32" s="22">
        <f t="shared" si="0"/>
        <v>0</v>
      </c>
      <c r="M32" s="2"/>
      <c r="N32" s="470"/>
      <c r="O32" s="8" t="s">
        <v>8</v>
      </c>
      <c r="P32" s="34">
        <f>INPUT!E8</f>
        <v>0</v>
      </c>
    </row>
    <row r="33" spans="1:14" ht="15" x14ac:dyDescent="0.25">
      <c r="A33" s="6" t="str">
        <f>+INPUT!C51</f>
        <v>Minor Equipment (less than $1,500 ea.)</v>
      </c>
      <c r="B33" s="158"/>
      <c r="C33" s="7">
        <f>INPUT!E51</f>
        <v>0</v>
      </c>
      <c r="D33" s="159"/>
      <c r="E33" s="7">
        <f>INPUT!F51</f>
        <v>0</v>
      </c>
      <c r="F33" s="159"/>
      <c r="G33" s="7">
        <f>INPUT!G51</f>
        <v>0</v>
      </c>
      <c r="H33" s="159"/>
      <c r="I33" s="4">
        <f>G33*Assumptions!$E$10+G33</f>
        <v>0</v>
      </c>
      <c r="J33" s="156"/>
      <c r="K33" s="4">
        <f>I33*Assumptions!$F$10+I33</f>
        <v>0</v>
      </c>
      <c r="L33" s="22">
        <f t="shared" si="0"/>
        <v>0</v>
      </c>
      <c r="M33" s="2"/>
      <c r="N33" s="470"/>
    </row>
    <row r="34" spans="1:14" ht="15" x14ac:dyDescent="0.25">
      <c r="A34" s="6" t="str">
        <f>+INPUT!C52</f>
        <v>Equip. Maint &amp; Repair</v>
      </c>
      <c r="B34" s="158"/>
      <c r="C34" s="7">
        <f>INPUT!E52</f>
        <v>0</v>
      </c>
      <c r="D34" s="159"/>
      <c r="E34" s="7">
        <f>INPUT!F52</f>
        <v>0</v>
      </c>
      <c r="F34" s="159"/>
      <c r="G34" s="7">
        <f>INPUT!G52</f>
        <v>0</v>
      </c>
      <c r="H34" s="159"/>
      <c r="I34" s="4">
        <f>G34*Assumptions!$E$10+G34</f>
        <v>0</v>
      </c>
      <c r="J34" s="156"/>
      <c r="K34" s="4">
        <f>I34*Assumptions!$F$10+I34</f>
        <v>0</v>
      </c>
      <c r="L34" s="22">
        <f t="shared" si="0"/>
        <v>0</v>
      </c>
      <c r="M34" s="2"/>
      <c r="N34" s="470"/>
    </row>
    <row r="35" spans="1:14" ht="15" x14ac:dyDescent="0.25">
      <c r="A35" s="6" t="str">
        <f>+INPUT!C53</f>
        <v>Honoraria</v>
      </c>
      <c r="B35" s="158"/>
      <c r="C35" s="7">
        <f>INPUT!E53</f>
        <v>0</v>
      </c>
      <c r="D35" s="159"/>
      <c r="E35" s="7">
        <f>INPUT!F53</f>
        <v>0</v>
      </c>
      <c r="F35" s="159"/>
      <c r="G35" s="7">
        <f>INPUT!G53</f>
        <v>0</v>
      </c>
      <c r="H35" s="159"/>
      <c r="I35" s="4">
        <f>G35*Assumptions!$E$10+G35</f>
        <v>0</v>
      </c>
      <c r="J35" s="156"/>
      <c r="K35" s="4">
        <f>I35*Assumptions!$F$10+I35</f>
        <v>0</v>
      </c>
      <c r="L35" s="22">
        <f t="shared" si="0"/>
        <v>0</v>
      </c>
      <c r="M35" s="2"/>
      <c r="N35" s="470"/>
    </row>
    <row r="36" spans="1:14" ht="15" x14ac:dyDescent="0.25">
      <c r="A36" s="6" t="str">
        <f>+INPUT!C54</f>
        <v>Library - per Resource Librarian</v>
      </c>
      <c r="B36" s="158"/>
      <c r="C36" s="7">
        <f>INPUT!E54</f>
        <v>0</v>
      </c>
      <c r="D36" s="159"/>
      <c r="E36" s="7">
        <f>INPUT!F54</f>
        <v>0</v>
      </c>
      <c r="F36" s="159"/>
      <c r="G36" s="7">
        <f>INPUT!G54</f>
        <v>0</v>
      </c>
      <c r="H36" s="159"/>
      <c r="I36" s="4">
        <f>G36*Assumptions!$E$10+G36</f>
        <v>0</v>
      </c>
      <c r="J36" s="156"/>
      <c r="K36" s="4">
        <f>I36*Assumptions!$F$10+I36</f>
        <v>0</v>
      </c>
      <c r="L36" s="22">
        <f t="shared" si="0"/>
        <v>0</v>
      </c>
      <c r="M36" s="2"/>
      <c r="N36" s="470"/>
    </row>
    <row r="37" spans="1:14" ht="15" x14ac:dyDescent="0.25">
      <c r="A37" s="6" t="str">
        <f>+INPUT!C55</f>
        <v>Software</v>
      </c>
      <c r="B37" s="158"/>
      <c r="C37" s="7">
        <f>INPUT!E55</f>
        <v>0</v>
      </c>
      <c r="D37" s="159"/>
      <c r="E37" s="7">
        <f>INPUT!F55</f>
        <v>0</v>
      </c>
      <c r="F37" s="159"/>
      <c r="G37" s="7">
        <f>INPUT!G55</f>
        <v>0</v>
      </c>
      <c r="H37" s="159"/>
      <c r="I37" s="4">
        <f>G37*Assumptions!$E$10+G37</f>
        <v>0</v>
      </c>
      <c r="J37" s="156"/>
      <c r="K37" s="4">
        <f>I37*Assumptions!$F$10+I37</f>
        <v>0</v>
      </c>
      <c r="L37" s="22">
        <f t="shared" si="0"/>
        <v>0</v>
      </c>
      <c r="M37" s="2"/>
      <c r="N37" s="470"/>
    </row>
    <row r="38" spans="1:14" ht="15" x14ac:dyDescent="0.25">
      <c r="A38" s="6" t="str">
        <f>+INPUT!C57</f>
        <v>Start Up  -per FTE</v>
      </c>
      <c r="B38" s="158"/>
      <c r="C38" s="7">
        <f>INPUT!E57</f>
        <v>0</v>
      </c>
      <c r="D38" s="159"/>
      <c r="E38" s="7">
        <f>INPUT!F57</f>
        <v>0</v>
      </c>
      <c r="F38" s="159"/>
      <c r="G38" s="7">
        <f>INPUT!G57</f>
        <v>0</v>
      </c>
      <c r="H38" s="159"/>
      <c r="I38" s="4">
        <f>G38*Assumptions!$E$10+G38</f>
        <v>0</v>
      </c>
      <c r="J38" s="156"/>
      <c r="K38" s="4">
        <f>I38*Assumptions!$F$10+I38</f>
        <v>0</v>
      </c>
      <c r="L38" s="22">
        <f>SUM(C38:K38)</f>
        <v>0</v>
      </c>
      <c r="M38" s="2"/>
      <c r="N38" s="470"/>
    </row>
    <row r="39" spans="1:14" ht="15" x14ac:dyDescent="0.25">
      <c r="A39" s="6" t="str">
        <f>+INPUT!C58</f>
        <v>Faculty Recruitment and Moving- per FTE</v>
      </c>
      <c r="B39" s="158"/>
      <c r="C39" s="7">
        <f>INPUT!E58</f>
        <v>0</v>
      </c>
      <c r="D39" s="159"/>
      <c r="E39" s="7">
        <f>INPUT!F58</f>
        <v>0</v>
      </c>
      <c r="F39" s="159"/>
      <c r="G39" s="7">
        <f>INPUT!G58</f>
        <v>0</v>
      </c>
      <c r="H39" s="159"/>
      <c r="I39" s="4">
        <f>G39*Assumptions!$E$10+G39</f>
        <v>0</v>
      </c>
      <c r="J39" s="156"/>
      <c r="K39" s="4">
        <f>I39*Assumptions!$F$10+I39</f>
        <v>0</v>
      </c>
      <c r="L39" s="22">
        <f t="shared" si="0"/>
        <v>0</v>
      </c>
      <c r="M39" s="2"/>
      <c r="N39" s="470"/>
    </row>
    <row r="40" spans="1:14" ht="15" x14ac:dyDescent="0.25">
      <c r="A40" s="6" t="str">
        <f>+INPUT!C59</f>
        <v>Recruitment, Brochures, conferences</v>
      </c>
      <c r="B40" s="158"/>
      <c r="C40" s="7">
        <f>INPUT!E59</f>
        <v>0</v>
      </c>
      <c r="D40" s="159"/>
      <c r="E40" s="7">
        <f>INPUT!F59</f>
        <v>0</v>
      </c>
      <c r="F40" s="159"/>
      <c r="G40" s="7">
        <f>INPUT!G59</f>
        <v>0</v>
      </c>
      <c r="H40" s="159"/>
      <c r="I40" s="4">
        <f>G40*Assumptions!$E$10+G40</f>
        <v>0</v>
      </c>
      <c r="J40" s="156"/>
      <c r="K40" s="4">
        <f>I40*Assumptions!$F$10+I40</f>
        <v>0</v>
      </c>
      <c r="L40" s="22">
        <f t="shared" ref="L40:L47" si="1">SUM(C40:K40)</f>
        <v>0</v>
      </c>
      <c r="M40" s="2"/>
      <c r="N40" s="470"/>
    </row>
    <row r="41" spans="1:14" s="154" customFormat="1" ht="15" x14ac:dyDescent="0.25">
      <c r="A41" s="158" t="str">
        <f>+INPUT!C60</f>
        <v>xxxx</v>
      </c>
      <c r="B41" s="158"/>
      <c r="C41" s="159">
        <f>INPUT!E60</f>
        <v>0</v>
      </c>
      <c r="D41" s="159"/>
      <c r="E41" s="159">
        <f>INPUT!F60</f>
        <v>0</v>
      </c>
      <c r="F41" s="159"/>
      <c r="G41" s="159">
        <f>INPUT!G60</f>
        <v>0</v>
      </c>
      <c r="H41" s="159"/>
      <c r="I41" s="156">
        <f>G41*Assumptions!$E$10+G41</f>
        <v>0</v>
      </c>
      <c r="J41" s="156"/>
      <c r="K41" s="156">
        <f>I41*Assumptions!$F$10+I41</f>
        <v>0</v>
      </c>
      <c r="L41" s="162">
        <f>SUM(C41:K41)</f>
        <v>0</v>
      </c>
      <c r="M41" s="155"/>
      <c r="N41" s="470"/>
    </row>
    <row r="42" spans="1:14" ht="15" x14ac:dyDescent="0.25">
      <c r="A42" s="6" t="str">
        <f>+INPUT!C61</f>
        <v>xxxx</v>
      </c>
      <c r="B42" s="158"/>
      <c r="C42" s="7">
        <f>INPUT!E61</f>
        <v>0</v>
      </c>
      <c r="D42" s="159"/>
      <c r="E42" s="7">
        <f>INPUT!F61</f>
        <v>0</v>
      </c>
      <c r="F42" s="159"/>
      <c r="G42" s="7">
        <f>INPUT!G61</f>
        <v>0</v>
      </c>
      <c r="H42" s="159"/>
      <c r="I42" s="4">
        <f>G42*Assumptions!$E$10+G42</f>
        <v>0</v>
      </c>
      <c r="J42" s="156"/>
      <c r="K42" s="4">
        <f>I42*Assumptions!$F$10+I42</f>
        <v>0</v>
      </c>
      <c r="L42" s="22">
        <f t="shared" si="1"/>
        <v>0</v>
      </c>
      <c r="M42" s="2"/>
      <c r="N42" s="470"/>
    </row>
    <row r="43" spans="1:14" ht="15" x14ac:dyDescent="0.25">
      <c r="A43" s="38" t="s">
        <v>101</v>
      </c>
      <c r="B43" s="166"/>
      <c r="C43" s="138">
        <f ca="1">(SUM(C14:C42)*(Assumptions!$B$52*(1+Expense_increase)^GAP))</f>
        <v>0</v>
      </c>
      <c r="D43" s="138"/>
      <c r="E43" s="138">
        <f ca="1">(SUM(E14:E42)*(Assumptions!$B$52*(1+Expense_increase)^GAP))</f>
        <v>0</v>
      </c>
      <c r="F43" s="138"/>
      <c r="G43" s="138">
        <f ca="1">(SUM(G14:G42)*(Assumptions!$B$52*(1+Expense_increase)^GAP))</f>
        <v>0</v>
      </c>
      <c r="H43" s="138"/>
      <c r="I43" s="138">
        <f ca="1">(SUM(I14:I42)*(Assumptions!$B$52*(1+Expense_increase)^GAP))</f>
        <v>0</v>
      </c>
      <c r="J43" s="138"/>
      <c r="K43" s="138">
        <f ca="1">(SUM(K14:K42)*(Assumptions!$B$52*(1+Expense_increase)^GAP))</f>
        <v>0</v>
      </c>
      <c r="L43" s="22">
        <f t="shared" ca="1" si="1"/>
        <v>0</v>
      </c>
      <c r="M43" s="2"/>
      <c r="N43" s="470"/>
    </row>
    <row r="44" spans="1:14" ht="15" x14ac:dyDescent="0.25">
      <c r="A44" s="6" t="str">
        <f>+INPUT!C63</f>
        <v>ITS Students</v>
      </c>
      <c r="B44" s="158"/>
      <c r="C44" s="7">
        <f>INPUT!E63</f>
        <v>0</v>
      </c>
      <c r="D44" s="159"/>
      <c r="E44" s="7">
        <f ca="1">INPUT!F63</f>
        <v>0</v>
      </c>
      <c r="F44" s="159"/>
      <c r="G44" s="7">
        <f ca="1">INPUT!G63</f>
        <v>0</v>
      </c>
      <c r="H44" s="159"/>
      <c r="I44" s="4">
        <f ca="1">G44*Assumptions!$E$10+G44</f>
        <v>0</v>
      </c>
      <c r="J44" s="156"/>
      <c r="K44" s="4">
        <f ca="1">I44*Assumptions!$F$10+I44</f>
        <v>0</v>
      </c>
      <c r="L44" s="22">
        <f t="shared" ca="1" si="1"/>
        <v>0</v>
      </c>
      <c r="M44" s="2"/>
      <c r="N44" s="470"/>
    </row>
    <row r="45" spans="1:14" s="154" customFormat="1" ht="15" x14ac:dyDescent="0.25">
      <c r="A45" s="158" t="str">
        <f>+INPUT!C64</f>
        <v xml:space="preserve">Computers </v>
      </c>
      <c r="B45" s="158"/>
      <c r="C45" s="159">
        <f>+INPUT!E64/5</f>
        <v>0</v>
      </c>
      <c r="D45" s="159"/>
      <c r="E45" s="159">
        <f>(+INPUT!F64+INPUT!E64)/5</f>
        <v>0</v>
      </c>
      <c r="F45" s="159"/>
      <c r="G45" s="159">
        <f>(INPUT!G64+INPUT!F64+INPUT!E64)/5</f>
        <v>0</v>
      </c>
      <c r="H45" s="159"/>
      <c r="I45" s="156">
        <f>+G45</f>
        <v>0</v>
      </c>
      <c r="J45" s="156"/>
      <c r="K45" s="156">
        <f>+I45</f>
        <v>0</v>
      </c>
      <c r="L45" s="162">
        <f t="shared" si="1"/>
        <v>0</v>
      </c>
      <c r="M45" s="155"/>
      <c r="N45" s="470"/>
    </row>
    <row r="46" spans="1:14" ht="15" x14ac:dyDescent="0.25">
      <c r="A46" s="6" t="str">
        <f>+INPUT!C65</f>
        <v>Equipment</v>
      </c>
      <c r="B46" s="158"/>
      <c r="C46" s="7">
        <f>INPUT!E65/5</f>
        <v>0</v>
      </c>
      <c r="D46" s="159"/>
      <c r="E46" s="7">
        <f>(INPUT!F65+INPUT!E65)/5</f>
        <v>0</v>
      </c>
      <c r="F46" s="159"/>
      <c r="G46" s="7">
        <f>(INPUT!G65+INPUT!F65+INPUT!E65)/5</f>
        <v>0</v>
      </c>
      <c r="H46" s="159"/>
      <c r="I46" s="4">
        <f>+G46</f>
        <v>0</v>
      </c>
      <c r="J46" s="156"/>
      <c r="K46" s="4">
        <f>+I46</f>
        <v>0</v>
      </c>
      <c r="L46" s="22">
        <f t="shared" si="1"/>
        <v>0</v>
      </c>
      <c r="M46" s="2"/>
      <c r="N46" s="470"/>
    </row>
    <row r="47" spans="1:14" ht="15" x14ac:dyDescent="0.25">
      <c r="A47" s="158" t="str">
        <f>+INPUT!C72</f>
        <v>Building Renovation</v>
      </c>
      <c r="B47" s="158"/>
      <c r="C47" s="159">
        <f>IF(INPUT!B68="Renovated",INPUT!F72/20,INPUT!F72/40)</f>
        <v>0</v>
      </c>
      <c r="D47" s="159"/>
      <c r="E47" s="159">
        <f>+C47</f>
        <v>0</v>
      </c>
      <c r="F47" s="159"/>
      <c r="G47" s="159">
        <f>+E47</f>
        <v>0</v>
      </c>
      <c r="H47" s="159"/>
      <c r="I47" s="156">
        <f>+G47</f>
        <v>0</v>
      </c>
      <c r="J47" s="156"/>
      <c r="K47" s="156">
        <f>+I47</f>
        <v>0</v>
      </c>
      <c r="L47" s="162">
        <f t="shared" si="1"/>
        <v>0</v>
      </c>
      <c r="M47" s="2"/>
      <c r="N47" s="470"/>
    </row>
    <row r="48" spans="1:14" s="154" customFormat="1" ht="15" x14ac:dyDescent="0.25">
      <c r="A48" s="166"/>
      <c r="B48" s="166"/>
      <c r="C48" s="159"/>
      <c r="D48" s="159"/>
      <c r="E48" s="159"/>
      <c r="F48" s="159"/>
      <c r="G48" s="159"/>
      <c r="H48" s="159"/>
      <c r="I48" s="159"/>
      <c r="J48" s="159"/>
      <c r="K48" s="159"/>
      <c r="L48" s="169">
        <f t="shared" si="0"/>
        <v>0</v>
      </c>
      <c r="M48" s="2"/>
      <c r="N48" s="470"/>
    </row>
    <row r="49" spans="1:16" ht="15" x14ac:dyDescent="0.25">
      <c r="A49" s="175" t="s">
        <v>0</v>
      </c>
      <c r="B49" s="175"/>
      <c r="C49" s="176">
        <f ca="1">SUM(C14:C48)</f>
        <v>0</v>
      </c>
      <c r="D49" s="176"/>
      <c r="E49" s="176">
        <f ca="1">SUM(E14:E48)</f>
        <v>0</v>
      </c>
      <c r="F49" s="176"/>
      <c r="G49" s="176">
        <f ca="1">SUM(G14:G48)</f>
        <v>0</v>
      </c>
      <c r="H49" s="176"/>
      <c r="I49" s="176">
        <f ca="1">SUM(I14:I48)</f>
        <v>0</v>
      </c>
      <c r="J49" s="176"/>
      <c r="K49" s="176">
        <f ca="1">SUM(K14:K48)</f>
        <v>0</v>
      </c>
      <c r="L49" s="177">
        <f ca="1">SUM(L14:L48)</f>
        <v>0</v>
      </c>
      <c r="M49" s="2"/>
      <c r="N49" s="470"/>
    </row>
    <row r="50" spans="1:16" x14ac:dyDescent="0.2">
      <c r="M50" s="2"/>
      <c r="N50" s="470"/>
    </row>
    <row r="51" spans="1:16" s="428" customFormat="1" ht="15" x14ac:dyDescent="0.25">
      <c r="A51" s="430" t="s">
        <v>287</v>
      </c>
      <c r="B51" s="430">
        <f>+C51/Proprietary!G18</f>
        <v>0</v>
      </c>
      <c r="C51" s="431">
        <f>+C14+(C41/1.38)</f>
        <v>0</v>
      </c>
      <c r="D51" s="431">
        <f>+E51/Proprietary!G21</f>
        <v>0</v>
      </c>
      <c r="E51" s="431">
        <f>+E14+(E41/1.38)</f>
        <v>0</v>
      </c>
      <c r="F51" s="431">
        <f>+G51/Proprietary!G24</f>
        <v>0</v>
      </c>
      <c r="G51" s="431">
        <f>+G14+(G41/1.38)</f>
        <v>0</v>
      </c>
      <c r="H51" s="431">
        <f>+I51/Proprietary!G27</f>
        <v>0</v>
      </c>
      <c r="I51" s="425">
        <f>+I14+(I41/1.38)</f>
        <v>0</v>
      </c>
      <c r="J51" s="425">
        <f>+K51/Proprietary!G30</f>
        <v>0</v>
      </c>
      <c r="K51" s="425">
        <f>+K14+(K41/1.038)</f>
        <v>0</v>
      </c>
      <c r="L51" s="432"/>
      <c r="M51" s="429"/>
    </row>
    <row r="52" spans="1:16" x14ac:dyDescent="0.2">
      <c r="D52" s="433"/>
      <c r="F52" s="433"/>
      <c r="H52" s="433"/>
      <c r="J52" s="433"/>
      <c r="M52" s="2"/>
    </row>
    <row r="53" spans="1:16" ht="15.75" x14ac:dyDescent="0.25">
      <c r="A53" s="163" t="s">
        <v>133</v>
      </c>
      <c r="B53" s="183"/>
      <c r="C53" s="222"/>
      <c r="D53" s="183"/>
      <c r="E53" s="183"/>
      <c r="F53" s="183"/>
      <c r="G53" s="183"/>
      <c r="H53" s="48"/>
      <c r="I53" s="48"/>
      <c r="J53" s="48"/>
      <c r="K53" s="48"/>
      <c r="L53" s="48"/>
      <c r="M53" s="2"/>
      <c r="O53" s="32"/>
    </row>
    <row r="54" spans="1:16" hidden="1" x14ac:dyDescent="0.2">
      <c r="A54" s="103" t="s">
        <v>11</v>
      </c>
      <c r="B54" s="103"/>
      <c r="C54" s="48" t="s">
        <v>36</v>
      </c>
      <c r="D54" s="48"/>
      <c r="E54" s="48"/>
      <c r="F54" s="48"/>
      <c r="G54" s="48"/>
      <c r="H54" s="48"/>
      <c r="I54" s="48"/>
      <c r="J54" s="48"/>
      <c r="K54" s="48"/>
      <c r="L54" s="48"/>
      <c r="M54" s="2"/>
    </row>
    <row r="55" spans="1:16" hidden="1" x14ac:dyDescent="0.2">
      <c r="A55" s="103" t="s">
        <v>12</v>
      </c>
      <c r="B55" s="103"/>
      <c r="C55" s="48" t="s">
        <v>102</v>
      </c>
      <c r="D55" s="48"/>
      <c r="E55" s="48"/>
      <c r="F55" s="48"/>
      <c r="G55" s="48"/>
      <c r="H55" s="48"/>
      <c r="I55" s="48"/>
      <c r="J55" s="48"/>
      <c r="K55" s="48"/>
      <c r="L55" s="48"/>
      <c r="M55" s="2"/>
    </row>
    <row r="56" spans="1:16" hidden="1" x14ac:dyDescent="0.2">
      <c r="A56" s="103" t="s">
        <v>13</v>
      </c>
      <c r="B56" s="103"/>
      <c r="C56" s="48" t="s">
        <v>103</v>
      </c>
      <c r="D56" s="48"/>
      <c r="E56" s="48"/>
      <c r="F56" s="48"/>
      <c r="G56" s="48"/>
      <c r="H56" s="48"/>
      <c r="I56" s="48"/>
      <c r="J56" s="48"/>
      <c r="K56" s="48"/>
      <c r="L56" s="48"/>
      <c r="M56" s="48"/>
      <c r="N56" s="48"/>
      <c r="O56" s="48"/>
      <c r="P56" s="48"/>
    </row>
    <row r="57" spans="1:16" hidden="1" x14ac:dyDescent="0.2">
      <c r="A57" s="103" t="s">
        <v>14</v>
      </c>
      <c r="B57" s="103"/>
      <c r="C57" s="48" t="s">
        <v>71</v>
      </c>
      <c r="D57" s="48"/>
      <c r="E57" s="48"/>
      <c r="F57" s="48"/>
      <c r="G57" s="48"/>
      <c r="H57" s="48"/>
      <c r="I57" s="48"/>
      <c r="J57" s="48"/>
      <c r="K57" s="48"/>
      <c r="L57" s="48"/>
      <c r="M57" s="48"/>
      <c r="N57" s="48"/>
      <c r="O57" s="48"/>
      <c r="P57" s="48"/>
    </row>
    <row r="58" spans="1:16" hidden="1" x14ac:dyDescent="0.2">
      <c r="A58" s="103" t="s">
        <v>15</v>
      </c>
      <c r="B58" s="103"/>
      <c r="C58" s="48" t="s">
        <v>104</v>
      </c>
      <c r="D58" s="48"/>
      <c r="E58" s="48"/>
      <c r="F58" s="48"/>
      <c r="G58" s="48"/>
      <c r="H58" s="48"/>
      <c r="I58" s="48"/>
      <c r="J58" s="48"/>
      <c r="K58" s="48"/>
      <c r="L58" s="48"/>
      <c r="M58" s="48"/>
      <c r="N58" s="48"/>
      <c r="O58" s="48"/>
      <c r="P58" s="48"/>
    </row>
    <row r="59" spans="1:16" hidden="1" x14ac:dyDescent="0.2">
      <c r="A59" s="103" t="s">
        <v>16</v>
      </c>
      <c r="B59" s="103"/>
      <c r="C59" s="48" t="s">
        <v>105</v>
      </c>
      <c r="D59" s="48"/>
      <c r="E59" s="48"/>
      <c r="F59" s="48"/>
      <c r="G59" s="48"/>
      <c r="H59" s="48"/>
      <c r="I59" s="48"/>
      <c r="J59" s="48"/>
      <c r="K59" s="48"/>
      <c r="L59" s="48"/>
      <c r="M59" s="48"/>
      <c r="N59" s="48"/>
      <c r="O59" s="48"/>
      <c r="P59" s="48"/>
    </row>
    <row r="60" spans="1:16" hidden="1" x14ac:dyDescent="0.2">
      <c r="A60" s="103" t="s">
        <v>17</v>
      </c>
      <c r="B60" s="103"/>
      <c r="C60" s="48" t="s">
        <v>10</v>
      </c>
      <c r="D60" s="48"/>
      <c r="E60" s="48"/>
      <c r="F60" s="48"/>
      <c r="G60" s="48"/>
      <c r="H60" s="48"/>
      <c r="I60" s="48"/>
      <c r="J60" s="48"/>
      <c r="K60" s="48"/>
      <c r="L60" s="48"/>
      <c r="M60" s="48"/>
      <c r="N60" s="48"/>
      <c r="O60" s="48"/>
      <c r="P60" s="48"/>
    </row>
    <row r="61" spans="1:16" hidden="1" x14ac:dyDescent="0.2">
      <c r="A61" s="103" t="s">
        <v>29</v>
      </c>
      <c r="B61" s="103"/>
      <c r="C61" s="48" t="s">
        <v>136</v>
      </c>
      <c r="D61" s="48"/>
      <c r="E61" s="48"/>
      <c r="F61" s="48"/>
      <c r="G61" s="48"/>
      <c r="H61" s="48"/>
      <c r="I61" s="48"/>
      <c r="J61" s="48"/>
      <c r="K61" s="48"/>
      <c r="L61" s="48"/>
      <c r="M61" s="48"/>
      <c r="N61" s="48"/>
      <c r="O61" s="48"/>
      <c r="P61" s="48"/>
    </row>
    <row r="62" spans="1:16" hidden="1" x14ac:dyDescent="0.2">
      <c r="A62" s="103" t="s">
        <v>30</v>
      </c>
      <c r="B62" s="103"/>
      <c r="C62" s="48" t="s">
        <v>112</v>
      </c>
      <c r="D62" s="48"/>
      <c r="E62" s="48"/>
      <c r="F62" s="48"/>
      <c r="G62" s="48"/>
      <c r="H62" s="48"/>
      <c r="I62" s="48"/>
      <c r="J62" s="48"/>
      <c r="K62" s="48"/>
      <c r="L62" s="48"/>
      <c r="M62" s="48"/>
      <c r="N62" s="48"/>
      <c r="O62" s="48"/>
      <c r="P62" s="48"/>
    </row>
    <row r="63" spans="1:16" hidden="1" x14ac:dyDescent="0.2">
      <c r="A63" s="103" t="s">
        <v>35</v>
      </c>
      <c r="B63" s="103"/>
      <c r="C63" s="48" t="s">
        <v>106</v>
      </c>
      <c r="D63" s="48"/>
      <c r="E63" s="48"/>
      <c r="F63" s="48"/>
      <c r="G63" s="48"/>
      <c r="H63" s="48"/>
      <c r="I63" s="48"/>
      <c r="J63" s="48"/>
      <c r="K63" s="48"/>
      <c r="L63" s="48"/>
      <c r="M63" s="48"/>
      <c r="N63" s="48"/>
      <c r="O63" s="48"/>
      <c r="P63" s="48"/>
    </row>
    <row r="64" spans="1:16" hidden="1" x14ac:dyDescent="0.2">
      <c r="A64" s="48"/>
      <c r="B64" s="48"/>
      <c r="C64" s="48"/>
      <c r="D64" s="48"/>
      <c r="E64" s="48"/>
      <c r="F64" s="48"/>
      <c r="G64" s="48"/>
      <c r="H64" s="48"/>
      <c r="I64" s="48"/>
      <c r="J64" s="48"/>
      <c r="K64" s="48"/>
      <c r="L64" s="48"/>
      <c r="M64" s="48"/>
      <c r="N64" s="48"/>
      <c r="O64" s="48"/>
      <c r="P64" s="48"/>
    </row>
    <row r="65" spans="1:17" hidden="1" x14ac:dyDescent="0.2">
      <c r="A65" s="48" t="s">
        <v>31</v>
      </c>
      <c r="B65" s="48"/>
      <c r="C65" s="48"/>
      <c r="D65" s="48"/>
      <c r="E65" s="48"/>
      <c r="F65" s="48"/>
      <c r="G65" s="48"/>
      <c r="H65" s="48"/>
      <c r="I65" s="48"/>
      <c r="J65" s="48"/>
      <c r="K65" s="48"/>
      <c r="L65" s="48"/>
      <c r="M65" s="48"/>
      <c r="N65" s="48"/>
      <c r="O65" s="48"/>
      <c r="P65" s="48"/>
    </row>
    <row r="66" spans="1:17" hidden="1" x14ac:dyDescent="0.2">
      <c r="A66" s="103" t="s">
        <v>11</v>
      </c>
      <c r="B66" s="103"/>
      <c r="C66" s="48" t="s">
        <v>32</v>
      </c>
      <c r="D66" s="48"/>
      <c r="E66" s="48"/>
      <c r="F66" s="48"/>
      <c r="G66" s="48"/>
      <c r="H66" s="48"/>
      <c r="I66" s="48"/>
      <c r="J66" s="48"/>
      <c r="K66" s="48"/>
      <c r="L66" s="48"/>
      <c r="M66" s="48"/>
      <c r="N66" s="48"/>
      <c r="O66" s="48"/>
      <c r="P66" s="48"/>
    </row>
    <row r="67" spans="1:17" hidden="1" x14ac:dyDescent="0.2">
      <c r="A67" s="103" t="s">
        <v>12</v>
      </c>
      <c r="B67" s="103"/>
      <c r="C67" s="136" t="s">
        <v>72</v>
      </c>
      <c r="D67" s="136"/>
      <c r="E67" s="112"/>
      <c r="F67" s="112"/>
      <c r="G67" s="112"/>
      <c r="H67" s="112"/>
      <c r="I67" s="112"/>
      <c r="J67" s="112"/>
      <c r="K67" s="112"/>
      <c r="L67" s="112"/>
      <c r="M67" s="48"/>
      <c r="N67" s="48"/>
      <c r="O67" s="48"/>
      <c r="P67" s="48"/>
    </row>
    <row r="68" spans="1:17" hidden="1" x14ac:dyDescent="0.2">
      <c r="A68" s="48"/>
      <c r="B68" s="48"/>
      <c r="C68" s="112"/>
      <c r="D68" s="112"/>
      <c r="E68" s="112"/>
      <c r="F68" s="112"/>
      <c r="G68" s="112"/>
      <c r="H68" s="112"/>
      <c r="I68" s="112"/>
      <c r="J68" s="112"/>
      <c r="K68" s="112"/>
      <c r="L68" s="112"/>
      <c r="M68" s="48"/>
      <c r="N68" s="48"/>
      <c r="O68" s="48"/>
      <c r="P68" s="48"/>
    </row>
    <row r="69" spans="1:17" hidden="1" x14ac:dyDescent="0.2">
      <c r="A69" s="48"/>
      <c r="B69" s="48"/>
      <c r="C69" s="112"/>
      <c r="D69" s="112"/>
      <c r="E69" s="112"/>
      <c r="F69" s="112"/>
      <c r="G69" s="112"/>
      <c r="H69" s="112"/>
      <c r="I69" s="112"/>
      <c r="J69" s="112"/>
      <c r="K69" s="112"/>
      <c r="L69" s="112"/>
      <c r="M69" s="48"/>
      <c r="N69" s="48"/>
      <c r="O69" s="48"/>
      <c r="P69" s="48"/>
    </row>
    <row r="70" spans="1:17" ht="12.75" hidden="1" customHeight="1" x14ac:dyDescent="0.2">
      <c r="M70" s="112"/>
      <c r="N70" s="112"/>
      <c r="O70" s="112"/>
      <c r="P70" s="112"/>
    </row>
    <row r="71" spans="1:17" hidden="1" x14ac:dyDescent="0.2">
      <c r="M71" s="112"/>
      <c r="N71" s="112"/>
      <c r="O71" s="112"/>
      <c r="P71" s="112"/>
    </row>
    <row r="72" spans="1:17" hidden="1" x14ac:dyDescent="0.2">
      <c r="M72" s="112"/>
      <c r="N72" s="112"/>
      <c r="O72" s="112"/>
      <c r="P72" s="112"/>
    </row>
    <row r="73" spans="1:17" hidden="1" x14ac:dyDescent="0.2"/>
    <row r="74" spans="1:17" ht="12.75" customHeight="1" x14ac:dyDescent="0.2">
      <c r="C74" s="70"/>
      <c r="D74" s="165"/>
      <c r="E74" s="70"/>
      <c r="F74" s="165"/>
      <c r="G74" s="70"/>
      <c r="H74" s="165"/>
      <c r="I74" s="70"/>
      <c r="J74" s="165"/>
      <c r="K74" s="70"/>
      <c r="L74" s="70"/>
      <c r="Q74" s="42"/>
    </row>
    <row r="75" spans="1:17" ht="15.75" hidden="1" x14ac:dyDescent="0.25">
      <c r="A75" s="25" t="s">
        <v>113</v>
      </c>
      <c r="B75" s="163"/>
      <c r="Q75" s="42"/>
    </row>
    <row r="76" spans="1:17" hidden="1" x14ac:dyDescent="0.2"/>
    <row r="77" spans="1:17" hidden="1" x14ac:dyDescent="0.2">
      <c r="M77" s="70"/>
      <c r="N77" s="70"/>
      <c r="O77" s="70"/>
      <c r="P77" s="70"/>
    </row>
  </sheetData>
  <sheetProtection algorithmName="SHA-512" hashValue="+UA55LvoUgGx6cPU2fvZYQouFvWFSUzE1GkRvnd35NKQ5Z4PH/SyLUPEovThOWjjBiSW8q0kIPckD8L+7JV5sQ==" saltValue="KDPMGc03y5upQEeh7uZzEw==" spinCount="100000" sheet="1" objects="1" scenarios="1"/>
  <mergeCells count="5">
    <mergeCell ref="A2:U2"/>
    <mergeCell ref="A3:U3"/>
    <mergeCell ref="A4:U4"/>
    <mergeCell ref="N25:N50"/>
    <mergeCell ref="P13:U13"/>
  </mergeCells>
  <pageMargins left="0.5" right="0.5" top="0.5" bottom="0.5" header="0.25" footer="0.25"/>
  <pageSetup scale="47" orientation="landscape" r:id="rId1"/>
  <headerFooter>
    <oddFooter>&amp;L&amp;"Calibri,Regular"&amp;8&amp;K04-020JRT &amp;C&amp;"Calibri,Regular"&amp;8&amp;K04-020&amp;A&amp;R&amp;"Calibri,Regular"&amp;8&amp;K04-020&amp;F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G27"/>
  <sheetViews>
    <sheetView zoomScale="115" zoomScaleNormal="115" workbookViewId="0">
      <selection activeCell="D24" sqref="D24"/>
    </sheetView>
  </sheetViews>
  <sheetFormatPr defaultRowHeight="15.75" x14ac:dyDescent="0.25"/>
  <cols>
    <col min="1" max="1" width="39.7109375" style="14" customWidth="1"/>
    <col min="2" max="2" width="16.5703125" style="14" customWidth="1"/>
    <col min="3" max="3" width="16.7109375" style="14" customWidth="1"/>
    <col min="4" max="4" width="16.5703125" style="14" customWidth="1"/>
    <col min="5" max="5" width="17" style="14" customWidth="1"/>
    <col min="6" max="6" width="16.7109375" style="14" customWidth="1"/>
    <col min="7" max="7" width="18.85546875" style="14" customWidth="1"/>
    <col min="8" max="16384" width="9.140625" style="14"/>
  </cols>
  <sheetData>
    <row r="2" spans="1:7" ht="18.75" x14ac:dyDescent="0.3">
      <c r="A2" s="474">
        <f>INPUT!D9</f>
        <v>0</v>
      </c>
      <c r="B2" s="474"/>
      <c r="C2" s="474"/>
      <c r="D2" s="474"/>
      <c r="E2" s="474"/>
      <c r="F2" s="474"/>
      <c r="G2" s="474"/>
    </row>
    <row r="3" spans="1:7" ht="18.75" x14ac:dyDescent="0.3">
      <c r="A3" s="475" t="s">
        <v>69</v>
      </c>
      <c r="B3" s="475"/>
      <c r="C3" s="475"/>
      <c r="D3" s="475"/>
      <c r="E3" s="475"/>
      <c r="F3" s="475"/>
      <c r="G3" s="475"/>
    </row>
    <row r="4" spans="1:7" ht="19.5" thickBot="1" x14ac:dyDescent="0.35">
      <c r="A4" s="104"/>
      <c r="B4" s="104"/>
      <c r="C4" s="104"/>
      <c r="D4" s="104"/>
      <c r="E4" s="104"/>
      <c r="F4" s="104"/>
      <c r="G4" s="104"/>
    </row>
    <row r="5" spans="1:7" ht="17.25" thickTop="1" thickBot="1" x14ac:dyDescent="0.3">
      <c r="A5" s="69" t="s">
        <v>108</v>
      </c>
      <c r="B5" s="18">
        <f>INPUT!E6</f>
        <v>2019</v>
      </c>
      <c r="C5" s="18">
        <f>IF(B5="Enter Yr","Year 2",B5+1)</f>
        <v>2020</v>
      </c>
      <c r="D5" s="18">
        <f>IF(B5="Enter Yr","Year 3",B5+2)</f>
        <v>2021</v>
      </c>
      <c r="E5" s="18">
        <f>IF(B5="Enter Yr","Year 4",B5+3)</f>
        <v>2022</v>
      </c>
      <c r="F5" s="18">
        <f>IF(B5="Enter Yr","Year 5",B5+4)</f>
        <v>2023</v>
      </c>
      <c r="G5" s="19" t="s">
        <v>19</v>
      </c>
    </row>
    <row r="6" spans="1:7" ht="16.5" thickBot="1" x14ac:dyDescent="0.3">
      <c r="A6" s="15" t="s">
        <v>100</v>
      </c>
      <c r="B6" s="16">
        <f ca="1">'Report-Details'!C6+'Report-Details'!C7</f>
        <v>0</v>
      </c>
      <c r="C6" s="16">
        <f ca="1">'Report-Details'!E6+'Report-Details'!E7</f>
        <v>0</v>
      </c>
      <c r="D6" s="16">
        <f ca="1">'Report-Details'!G6+'Report-Details'!G7</f>
        <v>0</v>
      </c>
      <c r="E6" s="16">
        <f ca="1">'Report-Details'!I6+'Report-Details'!I7</f>
        <v>0</v>
      </c>
      <c r="F6" s="16">
        <f ca="1">'Report-Details'!K6+'Report-Details'!K7</f>
        <v>0</v>
      </c>
      <c r="G6" s="17">
        <f ca="1">SUM(B6:F6)</f>
        <v>0</v>
      </c>
    </row>
    <row r="7" spans="1:7" ht="16.5" thickBot="1" x14ac:dyDescent="0.3">
      <c r="A7" s="66"/>
      <c r="B7" s="67"/>
      <c r="C7" s="67"/>
      <c r="D7" s="67"/>
      <c r="E7" s="67"/>
      <c r="F7" s="67"/>
      <c r="G7" s="68"/>
    </row>
    <row r="8" spans="1:7" ht="16.5" thickBot="1" x14ac:dyDescent="0.3">
      <c r="A8" s="253" t="s">
        <v>26</v>
      </c>
      <c r="B8" s="141">
        <f>SUM('Report-Details'!C21:C24)*(1+Assumptions!$B$55)</f>
        <v>0</v>
      </c>
      <c r="C8" s="141">
        <f>SUM('Report-Details'!E21:E24)*(1+Assumptions!$B$55)</f>
        <v>0</v>
      </c>
      <c r="D8" s="141">
        <f>SUM('Report-Details'!G21:G24)*(1+Assumptions!$B$55)</f>
        <v>0</v>
      </c>
      <c r="E8" s="141">
        <f>SUM('Report-Details'!I21:I24)*(1+Assumptions!$B$55)</f>
        <v>0</v>
      </c>
      <c r="F8" s="141">
        <f>SUM('Report-Details'!K21:K24)*(1+Assumptions!$B$55)</f>
        <v>0</v>
      </c>
      <c r="G8" s="140">
        <f>SUM(B8:F8)</f>
        <v>0</v>
      </c>
    </row>
    <row r="9" spans="1:7" ht="16.5" thickBot="1" x14ac:dyDescent="0.3">
      <c r="A9" s="253" t="s">
        <v>27</v>
      </c>
      <c r="B9" s="141">
        <f ca="1">SUM('Report-Details'!C14:C15)*(1+Assumptions!$B$54)</f>
        <v>0</v>
      </c>
      <c r="C9" s="141">
        <f ca="1">SUM('Report-Details'!E14:E15)*(1+Assumptions!$B$54)</f>
        <v>0</v>
      </c>
      <c r="D9" s="141">
        <f ca="1">SUM('Report-Details'!G14:G15)*(1+Assumptions!$B$54)</f>
        <v>0</v>
      </c>
      <c r="E9" s="141">
        <f ca="1">SUM('Report-Details'!I14:I15)*(1+Assumptions!$B$54)</f>
        <v>0</v>
      </c>
      <c r="F9" s="141">
        <f ca="1">SUM('Report-Details'!K14:K15)*(1+Assumptions!$B$54)</f>
        <v>0</v>
      </c>
      <c r="G9" s="140">
        <f ca="1">SUM(B9:F9)</f>
        <v>0</v>
      </c>
    </row>
    <row r="10" spans="1:7" ht="16.5" thickBot="1" x14ac:dyDescent="0.3">
      <c r="A10" s="15" t="s">
        <v>25</v>
      </c>
      <c r="B10" s="141">
        <f ca="1">'Report-Details'!C49</f>
        <v>0</v>
      </c>
      <c r="C10" s="141">
        <f ca="1">'Report-Details'!E49</f>
        <v>0</v>
      </c>
      <c r="D10" s="141">
        <f ca="1">'Report-Details'!G49</f>
        <v>0</v>
      </c>
      <c r="E10" s="141">
        <f ca="1">'Report-Details'!I49</f>
        <v>0</v>
      </c>
      <c r="F10" s="141">
        <f ca="1">'Report-Details'!K49</f>
        <v>0</v>
      </c>
      <c r="G10" s="140">
        <f ca="1">SUM(B10:F10)</f>
        <v>0</v>
      </c>
    </row>
    <row r="11" spans="1:7" ht="16.5" thickBot="1" x14ac:dyDescent="0.3">
      <c r="A11" s="15" t="s">
        <v>139</v>
      </c>
      <c r="B11" s="139">
        <f ca="1">'Report-Details'!P11</f>
        <v>0</v>
      </c>
      <c r="C11" s="139">
        <f ca="1">'Report-Details'!Q11</f>
        <v>0</v>
      </c>
      <c r="D11" s="139">
        <f ca="1">'Report-Details'!R11</f>
        <v>0</v>
      </c>
      <c r="E11" s="139">
        <f ca="1">'Report-Details'!S11</f>
        <v>0</v>
      </c>
      <c r="F11" s="139">
        <f ca="1">'Report-Details'!T11</f>
        <v>0</v>
      </c>
      <c r="G11" s="140">
        <f ca="1">SUM(B11:F11)</f>
        <v>0</v>
      </c>
    </row>
    <row r="12" spans="1:7" ht="16.5" thickBot="1" x14ac:dyDescent="0.3">
      <c r="A12" s="147" t="s">
        <v>110</v>
      </c>
      <c r="B12" s="148">
        <f t="shared" ref="B12:G12" ca="1" si="0">B11-B10</f>
        <v>0</v>
      </c>
      <c r="C12" s="148">
        <f t="shared" ca="1" si="0"/>
        <v>0</v>
      </c>
      <c r="D12" s="148">
        <f t="shared" ca="1" si="0"/>
        <v>0</v>
      </c>
      <c r="E12" s="148">
        <f t="shared" ca="1" si="0"/>
        <v>0</v>
      </c>
      <c r="F12" s="148">
        <f t="shared" ca="1" si="0"/>
        <v>0</v>
      </c>
      <c r="G12" s="149">
        <f t="shared" ca="1" si="0"/>
        <v>0</v>
      </c>
    </row>
    <row r="13" spans="1:7" ht="16.5" thickTop="1" x14ac:dyDescent="0.25"/>
    <row r="14" spans="1:7" x14ac:dyDescent="0.25">
      <c r="A14" s="25" t="s">
        <v>113</v>
      </c>
    </row>
    <row r="22" spans="2:7" x14ac:dyDescent="0.25">
      <c r="B22" s="254"/>
      <c r="C22" s="254"/>
      <c r="D22" s="254"/>
      <c r="E22" s="254"/>
      <c r="F22" s="254"/>
      <c r="G22" s="254"/>
    </row>
    <row r="23" spans="2:7" x14ac:dyDescent="0.25">
      <c r="B23" s="254"/>
      <c r="C23" s="254"/>
      <c r="D23" s="254"/>
      <c r="E23" s="254"/>
      <c r="F23" s="254"/>
      <c r="G23" s="254"/>
    </row>
    <row r="24" spans="2:7" x14ac:dyDescent="0.25">
      <c r="B24" s="254"/>
      <c r="C24" s="254"/>
      <c r="D24" s="254"/>
      <c r="E24" s="254"/>
      <c r="F24" s="254"/>
      <c r="G24" s="254"/>
    </row>
    <row r="25" spans="2:7" x14ac:dyDescent="0.25">
      <c r="B25" s="254"/>
      <c r="C25" s="254"/>
      <c r="D25" s="254"/>
      <c r="E25" s="254"/>
      <c r="F25" s="254"/>
      <c r="G25" s="254"/>
    </row>
    <row r="26" spans="2:7" x14ac:dyDescent="0.25">
      <c r="B26" s="254"/>
      <c r="C26" s="254"/>
      <c r="D26" s="254"/>
      <c r="E26" s="254"/>
      <c r="F26" s="254"/>
      <c r="G26" s="254"/>
    </row>
    <row r="27" spans="2:7" x14ac:dyDescent="0.25">
      <c r="B27" s="254"/>
      <c r="C27" s="254"/>
      <c r="D27" s="254"/>
      <c r="E27" s="254"/>
      <c r="F27" s="254"/>
      <c r="G27" s="254"/>
    </row>
  </sheetData>
  <sheetProtection password="9523" sheet="1" objects="1" scenarios="1"/>
  <mergeCells count="2">
    <mergeCell ref="A2:G2"/>
    <mergeCell ref="A3:G3"/>
  </mergeCells>
  <printOptions horizontalCentered="1"/>
  <pageMargins left="0.5" right="0.5" top="0.5" bottom="0.5" header="0.25" footer="0.25"/>
  <pageSetup scale="91" orientation="landscape" r:id="rId1"/>
  <headerFooter>
    <oddFooter>&amp;C&amp;"Calibri,Regular"&amp;8&amp;K04-022&amp;A&amp;R&amp;"Calibri,Regular"&amp;8&amp;K04-022&amp;F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01"/>
  <sheetViews>
    <sheetView topLeftCell="A11" workbookViewId="0">
      <selection activeCell="H126" sqref="H126"/>
    </sheetView>
  </sheetViews>
  <sheetFormatPr defaultRowHeight="15.75" x14ac:dyDescent="0.25"/>
  <cols>
    <col min="1" max="1" width="5.140625" style="183" customWidth="1"/>
    <col min="2" max="2" width="3.5703125" style="183" customWidth="1"/>
    <col min="3" max="3" width="24.85546875" style="222" customWidth="1"/>
    <col min="4" max="4" width="5.42578125" style="183" customWidth="1"/>
    <col min="5" max="16" width="15.7109375" style="183" customWidth="1"/>
    <col min="17" max="17" width="11.42578125" style="183" customWidth="1"/>
    <col min="18" max="22" width="12.7109375" style="183" customWidth="1"/>
    <col min="23" max="28" width="9.42578125" style="183" customWidth="1"/>
    <col min="29" max="16384" width="9.140625" style="183"/>
  </cols>
  <sheetData>
    <row r="1" spans="1:19" hidden="1" x14ac:dyDescent="0.25"/>
    <row r="2" spans="1:19" hidden="1" x14ac:dyDescent="0.25"/>
    <row r="3" spans="1:19" hidden="1" x14ac:dyDescent="0.25"/>
    <row r="4" spans="1:19" hidden="1" x14ac:dyDescent="0.25"/>
    <row r="5" spans="1:19" hidden="1" x14ac:dyDescent="0.25"/>
    <row r="6" spans="1:19" hidden="1" x14ac:dyDescent="0.25"/>
    <row r="7" spans="1:19" hidden="1" x14ac:dyDescent="0.25"/>
    <row r="8" spans="1:19" hidden="1" x14ac:dyDescent="0.25"/>
    <row r="9" spans="1:19" hidden="1" x14ac:dyDescent="0.25"/>
    <row r="10" spans="1:19" hidden="1" x14ac:dyDescent="0.25"/>
    <row r="11" spans="1:19" ht="15.75" customHeight="1" x14ac:dyDescent="0.25">
      <c r="A11" s="476"/>
      <c r="B11" s="476"/>
      <c r="C11" s="476"/>
      <c r="D11" s="476"/>
      <c r="E11" s="476"/>
      <c r="F11" s="476"/>
      <c r="G11" s="476"/>
      <c r="H11" s="476"/>
      <c r="I11" s="476"/>
      <c r="J11" s="476"/>
      <c r="K11" s="476"/>
      <c r="L11" s="476"/>
      <c r="M11" s="476"/>
      <c r="N11" s="476"/>
      <c r="O11" s="476"/>
      <c r="P11" s="476"/>
      <c r="Q11" s="476"/>
      <c r="R11" s="476"/>
    </row>
    <row r="13" spans="1:19" x14ac:dyDescent="0.25">
      <c r="E13" s="184">
        <v>1</v>
      </c>
      <c r="F13" s="184">
        <v>2</v>
      </c>
      <c r="G13" s="184">
        <v>3</v>
      </c>
      <c r="H13" s="184">
        <v>4</v>
      </c>
      <c r="I13" s="184">
        <v>5</v>
      </c>
      <c r="J13" s="184">
        <v>6</v>
      </c>
      <c r="K13" s="184">
        <v>7</v>
      </c>
      <c r="L13" s="184">
        <v>8</v>
      </c>
      <c r="M13" s="184">
        <v>9</v>
      </c>
      <c r="N13" s="184">
        <v>10</v>
      </c>
      <c r="O13" s="184">
        <v>11</v>
      </c>
      <c r="P13" s="184">
        <v>12</v>
      </c>
      <c r="Q13" s="184">
        <v>13</v>
      </c>
      <c r="R13" s="184">
        <v>14</v>
      </c>
    </row>
    <row r="14" spans="1:19" ht="30" x14ac:dyDescent="0.25">
      <c r="E14" s="185" t="s">
        <v>141</v>
      </c>
      <c r="F14" s="186"/>
      <c r="G14" s="186"/>
      <c r="H14" s="186" t="s">
        <v>142</v>
      </c>
      <c r="I14" s="186" t="s">
        <v>143</v>
      </c>
      <c r="J14" s="186" t="s">
        <v>53</v>
      </c>
      <c r="K14" s="186" t="s">
        <v>54</v>
      </c>
      <c r="L14" s="186" t="s">
        <v>55</v>
      </c>
      <c r="M14" s="186" t="s">
        <v>56</v>
      </c>
      <c r="N14" s="186" t="s">
        <v>64</v>
      </c>
      <c r="O14" s="186" t="s">
        <v>144</v>
      </c>
      <c r="P14" s="186"/>
      <c r="Q14" s="186" t="s">
        <v>145</v>
      </c>
      <c r="R14" s="186" t="s">
        <v>146</v>
      </c>
      <c r="S14" s="186" t="s">
        <v>201</v>
      </c>
    </row>
    <row r="15" spans="1:19" x14ac:dyDescent="0.25">
      <c r="E15" s="187" t="s">
        <v>147</v>
      </c>
      <c r="F15" s="187"/>
      <c r="G15" s="187" t="s">
        <v>148</v>
      </c>
      <c r="H15" s="187">
        <v>4</v>
      </c>
      <c r="I15" s="187">
        <f>SUM(J15:P15)</f>
        <v>123</v>
      </c>
      <c r="J15" s="187">
        <v>30</v>
      </c>
      <c r="K15" s="187">
        <v>33</v>
      </c>
      <c r="L15" s="187">
        <v>30</v>
      </c>
      <c r="M15" s="187">
        <v>30</v>
      </c>
      <c r="N15" s="187"/>
      <c r="O15" s="187"/>
      <c r="P15" s="187"/>
      <c r="Q15" s="188">
        <v>22</v>
      </c>
      <c r="R15" s="189">
        <v>6.5</v>
      </c>
      <c r="S15" s="189">
        <f t="shared" ref="S15:S21" si="0">+R15*3</f>
        <v>19.5</v>
      </c>
    </row>
    <row r="16" spans="1:19" x14ac:dyDescent="0.25">
      <c r="E16" s="187" t="s">
        <v>149</v>
      </c>
      <c r="F16" s="187"/>
      <c r="G16" s="187" t="s">
        <v>148</v>
      </c>
      <c r="H16" s="187">
        <v>5</v>
      </c>
      <c r="I16" s="187">
        <f>SUM(J16:P16)</f>
        <v>123</v>
      </c>
      <c r="J16" s="187">
        <v>30</v>
      </c>
      <c r="K16" s="187">
        <v>33</v>
      </c>
      <c r="L16" s="187">
        <v>15</v>
      </c>
      <c r="M16" s="187">
        <v>15</v>
      </c>
      <c r="N16" s="187">
        <v>30</v>
      </c>
      <c r="O16" s="187"/>
      <c r="P16" s="187"/>
      <c r="Q16" s="188">
        <v>22</v>
      </c>
      <c r="R16" s="189">
        <v>6.5</v>
      </c>
      <c r="S16" s="189">
        <f t="shared" si="0"/>
        <v>19.5</v>
      </c>
    </row>
    <row r="17" spans="3:19" x14ac:dyDescent="0.25">
      <c r="E17" s="413" t="s">
        <v>278</v>
      </c>
      <c r="F17" s="187"/>
      <c r="G17" s="187" t="s">
        <v>148</v>
      </c>
      <c r="H17" s="187">
        <v>5</v>
      </c>
      <c r="I17" s="187">
        <f>SUM(J17:P17)</f>
        <v>123</v>
      </c>
      <c r="J17" s="187">
        <v>25</v>
      </c>
      <c r="K17" s="187">
        <v>25</v>
      </c>
      <c r="L17" s="187">
        <v>25</v>
      </c>
      <c r="M17" s="187">
        <v>24</v>
      </c>
      <c r="N17" s="187">
        <v>24</v>
      </c>
      <c r="O17" s="187"/>
      <c r="P17" s="187"/>
      <c r="Q17" s="188">
        <v>22</v>
      </c>
      <c r="R17" s="189">
        <v>6.5</v>
      </c>
      <c r="S17" s="189">
        <f t="shared" si="0"/>
        <v>19.5</v>
      </c>
    </row>
    <row r="18" spans="3:19" x14ac:dyDescent="0.25">
      <c r="E18" s="413" t="s">
        <v>279</v>
      </c>
      <c r="F18" s="187"/>
      <c r="G18" s="187" t="s">
        <v>151</v>
      </c>
      <c r="H18" s="187">
        <v>1</v>
      </c>
      <c r="I18" s="187">
        <f>SUM(J18:P18)</f>
        <v>30</v>
      </c>
      <c r="J18" s="187">
        <v>30</v>
      </c>
      <c r="K18" s="187"/>
      <c r="L18" s="187"/>
      <c r="M18" s="187"/>
      <c r="N18" s="187"/>
      <c r="O18" s="187"/>
      <c r="P18" s="187"/>
      <c r="Q18" s="188">
        <v>12</v>
      </c>
      <c r="R18" s="189">
        <v>5</v>
      </c>
      <c r="S18" s="189">
        <f t="shared" si="0"/>
        <v>15</v>
      </c>
    </row>
    <row r="19" spans="3:19" x14ac:dyDescent="0.25">
      <c r="E19" s="413" t="s">
        <v>280</v>
      </c>
      <c r="F19" s="187"/>
      <c r="G19" s="187" t="s">
        <v>151</v>
      </c>
      <c r="H19" s="187">
        <v>1</v>
      </c>
      <c r="I19" s="187">
        <v>36</v>
      </c>
      <c r="J19" s="187">
        <v>36</v>
      </c>
      <c r="K19" s="187"/>
      <c r="L19" s="187"/>
      <c r="M19" s="187"/>
      <c r="N19" s="187"/>
      <c r="O19" s="187"/>
      <c r="P19" s="187"/>
      <c r="Q19" s="188">
        <v>12</v>
      </c>
      <c r="R19" s="189">
        <v>5</v>
      </c>
      <c r="S19" s="189">
        <f t="shared" si="0"/>
        <v>15</v>
      </c>
    </row>
    <row r="20" spans="3:19" x14ac:dyDescent="0.25">
      <c r="E20" s="187" t="s">
        <v>150</v>
      </c>
      <c r="F20" s="187"/>
      <c r="G20" s="187" t="s">
        <v>151</v>
      </c>
      <c r="H20" s="187">
        <v>2</v>
      </c>
      <c r="I20" s="187">
        <f>SUM(J20:P20)</f>
        <v>30</v>
      </c>
      <c r="J20" s="187">
        <v>18</v>
      </c>
      <c r="K20" s="187">
        <v>12</v>
      </c>
      <c r="L20" s="187"/>
      <c r="M20" s="187"/>
      <c r="N20" s="187"/>
      <c r="O20" s="187"/>
      <c r="P20" s="187"/>
      <c r="Q20" s="188">
        <v>12</v>
      </c>
      <c r="R20" s="189">
        <v>5</v>
      </c>
      <c r="S20" s="189">
        <f t="shared" si="0"/>
        <v>15</v>
      </c>
    </row>
    <row r="21" spans="3:19" x14ac:dyDescent="0.25">
      <c r="E21" s="187" t="s">
        <v>152</v>
      </c>
      <c r="F21" s="187"/>
      <c r="G21" s="187" t="s">
        <v>151</v>
      </c>
      <c r="H21" s="187">
        <v>2</v>
      </c>
      <c r="I21" s="187">
        <f>SUM(J21:P21)</f>
        <v>36</v>
      </c>
      <c r="J21" s="187">
        <v>18</v>
      </c>
      <c r="K21" s="187">
        <v>18</v>
      </c>
      <c r="L21" s="187"/>
      <c r="M21" s="187"/>
      <c r="N21" s="187"/>
      <c r="O21" s="187"/>
      <c r="P21" s="187"/>
      <c r="Q21" s="188">
        <v>12</v>
      </c>
      <c r="R21" s="189">
        <v>5</v>
      </c>
      <c r="S21" s="189">
        <f t="shared" si="0"/>
        <v>15</v>
      </c>
    </row>
    <row r="24" spans="3:19" hidden="1" x14ac:dyDescent="0.25">
      <c r="C24" s="223"/>
    </row>
    <row r="25" spans="3:19" hidden="1" x14ac:dyDescent="0.25"/>
    <row r="26" spans="3:19" hidden="1" x14ac:dyDescent="0.25"/>
    <row r="27" spans="3:19" hidden="1" x14ac:dyDescent="0.25"/>
    <row r="28" spans="3:19" hidden="1" x14ac:dyDescent="0.25"/>
    <row r="29" spans="3:19" hidden="1" x14ac:dyDescent="0.25"/>
    <row r="30" spans="3:19" hidden="1" x14ac:dyDescent="0.25"/>
    <row r="31" spans="3:19" hidden="1" x14ac:dyDescent="0.25"/>
    <row r="32" spans="3:19" hidden="1" x14ac:dyDescent="0.25"/>
    <row r="33" spans="3:18" hidden="1" x14ac:dyDescent="0.25"/>
    <row r="34" spans="3:18" hidden="1" x14ac:dyDescent="0.25"/>
    <row r="35" spans="3:18" hidden="1" x14ac:dyDescent="0.25"/>
    <row r="36" spans="3:18" hidden="1" x14ac:dyDescent="0.25"/>
    <row r="37" spans="3:18" hidden="1" x14ac:dyDescent="0.25"/>
    <row r="38" spans="3:18" hidden="1" x14ac:dyDescent="0.25"/>
    <row r="39" spans="3:18" hidden="1" x14ac:dyDescent="0.25"/>
    <row r="40" spans="3:18" ht="15.75" customHeight="1" x14ac:dyDescent="0.25">
      <c r="O40" s="184"/>
      <c r="P40" s="184"/>
      <c r="Q40" s="184"/>
    </row>
    <row r="41" spans="3:18" ht="17.25" customHeight="1" x14ac:dyDescent="0.25">
      <c r="E41" s="232">
        <f>+INPUT!E16</f>
        <v>2019</v>
      </c>
      <c r="F41" s="233">
        <f t="shared" ref="F41:N41" si="1">+E41+1</f>
        <v>2020</v>
      </c>
      <c r="G41" s="233">
        <f t="shared" si="1"/>
        <v>2021</v>
      </c>
      <c r="H41" s="233">
        <f t="shared" si="1"/>
        <v>2022</v>
      </c>
      <c r="I41" s="233">
        <f t="shared" si="1"/>
        <v>2023</v>
      </c>
      <c r="J41" s="233">
        <f t="shared" si="1"/>
        <v>2024</v>
      </c>
      <c r="K41" s="233">
        <f t="shared" si="1"/>
        <v>2025</v>
      </c>
      <c r="L41" s="233">
        <f t="shared" si="1"/>
        <v>2026</v>
      </c>
      <c r="M41" s="233">
        <f t="shared" si="1"/>
        <v>2027</v>
      </c>
      <c r="N41" s="233">
        <f t="shared" si="1"/>
        <v>2028</v>
      </c>
      <c r="O41" s="184"/>
      <c r="P41" s="184"/>
      <c r="Q41" s="184"/>
      <c r="R41" s="184"/>
    </row>
    <row r="42" spans="3:18" x14ac:dyDescent="0.25">
      <c r="C42" s="224" t="s">
        <v>21</v>
      </c>
      <c r="D42" s="191"/>
      <c r="E42" s="234">
        <v>1</v>
      </c>
      <c r="F42" s="234">
        <v>2</v>
      </c>
      <c r="G42" s="192">
        <v>3</v>
      </c>
      <c r="H42" s="192">
        <v>4</v>
      </c>
      <c r="I42" s="192">
        <v>5</v>
      </c>
      <c r="J42" s="192">
        <v>6</v>
      </c>
      <c r="K42" s="192">
        <v>7</v>
      </c>
      <c r="L42" s="192">
        <v>8</v>
      </c>
      <c r="M42" s="192">
        <v>9</v>
      </c>
      <c r="N42" s="192">
        <v>10</v>
      </c>
      <c r="O42" s="184"/>
      <c r="P42" s="184"/>
      <c r="Q42" s="184"/>
      <c r="R42" s="184"/>
    </row>
    <row r="43" spans="3:18" x14ac:dyDescent="0.25">
      <c r="C43" s="224" t="s">
        <v>163</v>
      </c>
      <c r="D43" s="191"/>
      <c r="E43" s="193"/>
      <c r="F43" s="193"/>
      <c r="G43" s="193"/>
      <c r="H43" s="193"/>
      <c r="I43" s="193"/>
      <c r="J43" s="193"/>
      <c r="K43" s="193"/>
      <c r="L43" s="193"/>
      <c r="M43" s="193"/>
      <c r="N43" s="193"/>
      <c r="O43" s="184"/>
      <c r="P43" s="184"/>
      <c r="Q43" s="184"/>
      <c r="R43" s="184"/>
    </row>
    <row r="44" spans="3:18" x14ac:dyDescent="0.25">
      <c r="E44" s="194"/>
      <c r="F44" s="194"/>
      <c r="G44" s="194"/>
      <c r="H44" s="194"/>
      <c r="I44" s="194"/>
      <c r="J44" s="194"/>
      <c r="K44" s="194"/>
      <c r="L44" s="194"/>
      <c r="M44" s="194"/>
      <c r="N44" s="194"/>
      <c r="O44" s="184"/>
      <c r="P44" s="184"/>
      <c r="Q44" s="184"/>
      <c r="R44" s="184"/>
    </row>
    <row r="46" spans="3:18" hidden="1" x14ac:dyDescent="0.25"/>
    <row r="47" spans="3:18" hidden="1" x14ac:dyDescent="0.25"/>
    <row r="49" spans="2:18" x14ac:dyDescent="0.25">
      <c r="E49" s="197"/>
      <c r="F49" s="197"/>
      <c r="G49" s="197"/>
      <c r="H49" s="197"/>
      <c r="I49" s="197"/>
      <c r="J49" s="197"/>
      <c r="K49" s="197"/>
      <c r="L49" s="197"/>
      <c r="M49" s="197"/>
      <c r="N49" s="197"/>
      <c r="O49" s="184"/>
      <c r="P49" s="184"/>
      <c r="Q49" s="184"/>
      <c r="R49" s="184"/>
    </row>
    <row r="50" spans="2:18" x14ac:dyDescent="0.25">
      <c r="C50" s="225" t="s">
        <v>164</v>
      </c>
      <c r="E50" s="197"/>
      <c r="F50" s="197"/>
      <c r="G50" s="197"/>
      <c r="H50" s="197"/>
      <c r="I50" s="197"/>
      <c r="J50" s="197"/>
      <c r="K50" s="197"/>
      <c r="L50" s="197"/>
      <c r="M50" s="197"/>
      <c r="N50" s="197"/>
      <c r="O50" s="184"/>
      <c r="P50" s="184"/>
      <c r="Q50" s="184"/>
      <c r="R50" s="184"/>
    </row>
    <row r="51" spans="2:18" x14ac:dyDescent="0.25">
      <c r="B51" s="183">
        <f>INPUT!B30</f>
        <v>1</v>
      </c>
      <c r="C51" s="222" t="str">
        <f>INPUT!C22</f>
        <v>Full Time</v>
      </c>
      <c r="E51" s="198"/>
      <c r="F51" s="197">
        <f ca="1">ROUND(-(E61-E56)*(1-INPUT!$E22),2)</f>
        <v>0</v>
      </c>
      <c r="G51" s="197">
        <f ca="1">ROUND(-(F61-F56)*(1-INPUT!$E22),2)</f>
        <v>0</v>
      </c>
      <c r="H51" s="197">
        <f ca="1">ROUND(-(G61-G56)*(1-INPUT!$E22),2)</f>
        <v>0</v>
      </c>
      <c r="I51" s="197">
        <f ca="1">ROUND(-(H61-H56)*(1-INPUT!$E22),2)</f>
        <v>0</v>
      </c>
      <c r="J51" s="197">
        <f ca="1">ROUND(-(I61-I56)*(1-INPUT!$E22),2)</f>
        <v>0</v>
      </c>
      <c r="K51" s="197">
        <f ca="1">ROUND(-(J61-J56)*(1-INPUT!$E22),2)</f>
        <v>0</v>
      </c>
      <c r="L51" s="197">
        <f ca="1">ROUND(-(K61-K56)*(1-INPUT!$E22),2)</f>
        <v>0</v>
      </c>
      <c r="M51" s="197">
        <f ca="1">ROUND(-(L61-L56)*(1-INPUT!$E22),2)</f>
        <v>0</v>
      </c>
      <c r="N51" s="197">
        <f ca="1">ROUND(-(M61-M56)*(1-INPUT!$E22),2)</f>
        <v>0</v>
      </c>
      <c r="O51" s="184"/>
      <c r="P51" s="184"/>
      <c r="Q51" s="184"/>
      <c r="R51" s="184"/>
    </row>
    <row r="52" spans="2:18" x14ac:dyDescent="0.25">
      <c r="B52" s="183">
        <f>INPUT!B31</f>
        <v>2</v>
      </c>
      <c r="C52" s="222" t="str">
        <f>INPUT!C23</f>
        <v>Part Time</v>
      </c>
      <c r="E52" s="198"/>
      <c r="F52" s="197">
        <f ca="1">ROUND(-(E62-E57)*(1-INPUT!$E23),2)</f>
        <v>0</v>
      </c>
      <c r="G52" s="197">
        <f ca="1">ROUND(-(F62-F57)*(1-INPUT!$E23),2)</f>
        <v>0</v>
      </c>
      <c r="H52" s="197">
        <f ca="1">ROUND(-(G62-G57)*(1-INPUT!$E23),2)</f>
        <v>0</v>
      </c>
      <c r="I52" s="197">
        <f ca="1">ROUND(-(H62-H57)*(1-INPUT!$E23),2)</f>
        <v>0</v>
      </c>
      <c r="J52" s="197">
        <f ca="1">ROUND(-(I62-I57)*(1-INPUT!$E23),2)</f>
        <v>0</v>
      </c>
      <c r="K52" s="197">
        <f ca="1">ROUND(-(J62-J57)*(1-INPUT!$E23),2)</f>
        <v>0</v>
      </c>
      <c r="L52" s="197">
        <f ca="1">ROUND(-(K62-K57)*(1-INPUT!$E23),2)</f>
        <v>0</v>
      </c>
      <c r="M52" s="197">
        <f ca="1">ROUND(-(L62-L57)*(1-INPUT!$E23),2)</f>
        <v>0</v>
      </c>
      <c r="N52" s="197">
        <f ca="1">ROUND(-(M62-M57)*(1-INPUT!$E23),2)</f>
        <v>0</v>
      </c>
      <c r="O52" s="184"/>
      <c r="P52" s="184"/>
      <c r="Q52" s="184"/>
      <c r="R52" s="184"/>
    </row>
    <row r="53" spans="2:18" x14ac:dyDescent="0.25">
      <c r="D53" s="195" t="s">
        <v>19</v>
      </c>
      <c r="E53" s="196">
        <f t="shared" ref="E53:N53" si="2">SUM(E51:E52)</f>
        <v>0</v>
      </c>
      <c r="F53" s="196">
        <f t="shared" ca="1" si="2"/>
        <v>0</v>
      </c>
      <c r="G53" s="196">
        <f t="shared" ca="1" si="2"/>
        <v>0</v>
      </c>
      <c r="H53" s="196">
        <f t="shared" ca="1" si="2"/>
        <v>0</v>
      </c>
      <c r="I53" s="196">
        <f t="shared" ca="1" si="2"/>
        <v>0</v>
      </c>
      <c r="J53" s="196">
        <f t="shared" ca="1" si="2"/>
        <v>0</v>
      </c>
      <c r="K53" s="196">
        <f t="shared" ca="1" si="2"/>
        <v>0</v>
      </c>
      <c r="L53" s="196">
        <f t="shared" ca="1" si="2"/>
        <v>0</v>
      </c>
      <c r="M53" s="196">
        <f t="shared" ca="1" si="2"/>
        <v>0</v>
      </c>
      <c r="N53" s="196">
        <f t="shared" ca="1" si="2"/>
        <v>0</v>
      </c>
      <c r="O53" s="184"/>
      <c r="P53" s="184"/>
      <c r="Q53" s="184"/>
      <c r="R53" s="184"/>
    </row>
    <row r="54" spans="2:18" x14ac:dyDescent="0.25">
      <c r="C54" s="226"/>
      <c r="D54" s="199"/>
      <c r="E54" s="200"/>
      <c r="F54" s="200"/>
      <c r="G54" s="200"/>
      <c r="H54" s="200"/>
      <c r="I54" s="200"/>
      <c r="J54" s="200"/>
      <c r="K54" s="200"/>
      <c r="L54" s="200"/>
      <c r="M54" s="200"/>
      <c r="N54" s="200"/>
      <c r="O54" s="184"/>
      <c r="P54" s="184"/>
      <c r="Q54" s="184"/>
      <c r="R54" s="184"/>
    </row>
    <row r="55" spans="2:18" x14ac:dyDescent="0.25">
      <c r="C55" s="225" t="s">
        <v>165</v>
      </c>
      <c r="E55" s="197"/>
      <c r="F55" s="197"/>
      <c r="G55" s="197"/>
      <c r="H55" s="197"/>
      <c r="I55" s="197"/>
      <c r="J55" s="197"/>
      <c r="K55" s="197"/>
      <c r="L55" s="197"/>
      <c r="M55" s="197"/>
      <c r="N55" s="197"/>
      <c r="O55" s="184"/>
      <c r="P55" s="184"/>
      <c r="Q55" s="184"/>
      <c r="R55" s="184"/>
    </row>
    <row r="56" spans="2:18" x14ac:dyDescent="0.25">
      <c r="B56" s="183">
        <f>B51</f>
        <v>1</v>
      </c>
      <c r="C56" s="222" t="str">
        <f>INPUT!C22</f>
        <v>Full Time</v>
      </c>
      <c r="E56" s="197">
        <f ca="1">ROUND(IF(E$42&lt;INPUT!$G22,0,OFFSET(INPUT!E30,0,-INPUT!$G22+1,1,1)*INPUT!$F22),2)</f>
        <v>0</v>
      </c>
      <c r="F56" s="197">
        <f ca="1">ROUND(IF(F$42&lt;INPUT!$G22,0,OFFSET(INPUT!F30,0,-INPUT!$G22+1,1,1)*INPUT!$F22),2)</f>
        <v>0</v>
      </c>
      <c r="G56" s="197">
        <f ca="1">ROUND(IF(G$42&lt;INPUT!$G22,0,OFFSET(INPUT!G30,0,-INPUT!$G22+1,1,1)*INPUT!$F22),2)</f>
        <v>0</v>
      </c>
      <c r="H56" s="197">
        <f ca="1">ROUND(IF(H$42&lt;INPUT!$G22,0,OFFSET(INPUT!H30,0,-INPUT!$G22+1,1,1)*INPUT!$F22),2)</f>
        <v>0</v>
      </c>
      <c r="I56" s="197">
        <f ca="1">ROUND(IF(I$42&lt;INPUT!$G22,0,OFFSET(INPUT!I30,0,-INPUT!$G22+1,1,1)*INPUT!$F22),2)</f>
        <v>0</v>
      </c>
      <c r="J56" s="197">
        <f ca="1">ROUND(IF(J$42&lt;INPUT!$G22,0,OFFSET(INPUT!J30,0,-INPUT!$G22+1,1,1)*INPUT!$F22),2)</f>
        <v>0</v>
      </c>
      <c r="K56" s="197">
        <f ca="1">ROUND(IF(K$42&lt;INPUT!$G22,0,OFFSET(INPUT!K30,0,-INPUT!$G22+1,1,1)*INPUT!$F22),2)</f>
        <v>0</v>
      </c>
      <c r="L56" s="197">
        <f ca="1">ROUND(IF(L$42&lt;INPUT!$G22,0,OFFSET(INPUT!L30,0,-INPUT!$G22+1,1,1)*INPUT!$F22),2)</f>
        <v>0</v>
      </c>
      <c r="M56" s="197">
        <f ca="1">ROUND(IF(M$42&lt;INPUT!$G22,0,OFFSET(INPUT!M30,0,-INPUT!$G22+1,1,1)*INPUT!$F22),2)</f>
        <v>0</v>
      </c>
      <c r="N56" s="197">
        <f ca="1">ROUND(IF(N$42&lt;INPUT!$G22,0,OFFSET(INPUT!N30,0,-INPUT!$G22+1,1,1)*INPUT!$F22),2)</f>
        <v>0</v>
      </c>
      <c r="O56" s="184"/>
      <c r="P56" s="184"/>
      <c r="Q56" s="184"/>
      <c r="R56" s="184"/>
    </row>
    <row r="57" spans="2:18" x14ac:dyDescent="0.25">
      <c r="B57" s="183">
        <f>B52</f>
        <v>2</v>
      </c>
      <c r="C57" s="222" t="str">
        <f>INPUT!C23</f>
        <v>Part Time</v>
      </c>
      <c r="E57" s="197">
        <f ca="1">ROUND(IF(E$42&lt;INPUT!$G23,0,OFFSET(INPUT!E31,0,-INPUT!$G23+1,1,1)*INPUT!$F23),2)</f>
        <v>0</v>
      </c>
      <c r="F57" s="197">
        <f ca="1">ROUND(IF(F$42&lt;INPUT!$G23,0,OFFSET(INPUT!F31,0,-INPUT!$G23+1,1,1)*INPUT!$F23),2)</f>
        <v>0</v>
      </c>
      <c r="G57" s="197">
        <f ca="1">ROUND(IF(G$42&lt;INPUT!$G23,0,OFFSET(INPUT!G31,0,-INPUT!$G23+1,1,1)*INPUT!$F23),2)</f>
        <v>0</v>
      </c>
      <c r="H57" s="197">
        <f ca="1">ROUND(IF(H$42&lt;INPUT!$G23,0,OFFSET(INPUT!H31,0,-INPUT!$G23+1,1,1)*INPUT!$F23),2)</f>
        <v>0</v>
      </c>
      <c r="I57" s="197">
        <f ca="1">ROUND(IF(I$42&lt;INPUT!$G23,0,OFFSET(INPUT!I31,0,-INPUT!$G23+1,1,1)*INPUT!$F23),2)</f>
        <v>0</v>
      </c>
      <c r="J57" s="197">
        <f ca="1">ROUND(IF(J$42&lt;INPUT!$G23,0,OFFSET(INPUT!J31,0,-INPUT!$G23+1,1,1)*INPUT!$F23),2)</f>
        <v>0</v>
      </c>
      <c r="K57" s="197">
        <f ca="1">ROUND(IF(K$42&lt;INPUT!$G23,0,OFFSET(INPUT!K31,0,-INPUT!$G23+1,1,1)*INPUT!$F23),2)</f>
        <v>0</v>
      </c>
      <c r="L57" s="197">
        <f ca="1">ROUND(IF(L$42&lt;INPUT!$G23,0,OFFSET(INPUT!L31,0,-INPUT!$G23+1,1,1)*INPUT!$F23),2)</f>
        <v>0</v>
      </c>
      <c r="M57" s="197">
        <f ca="1">ROUND(IF(M$42&lt;INPUT!$G23,0,OFFSET(INPUT!M31,0,-INPUT!$G23+1,1,1)*INPUT!$F23),2)</f>
        <v>0</v>
      </c>
      <c r="N57" s="197">
        <f ca="1">ROUND(IF(N$42&lt;INPUT!$G23,0,OFFSET(INPUT!N31,0,-INPUT!$G23+1,1,1)*INPUT!$F23),2)</f>
        <v>0</v>
      </c>
      <c r="O57" s="184"/>
      <c r="P57" s="184"/>
      <c r="Q57" s="184"/>
      <c r="R57" s="184"/>
    </row>
    <row r="58" spans="2:18" x14ac:dyDescent="0.25">
      <c r="D58" s="195" t="s">
        <v>19</v>
      </c>
      <c r="E58" s="196">
        <f t="shared" ref="E58:N58" ca="1" si="3">SUM(E56:E57)</f>
        <v>0</v>
      </c>
      <c r="F58" s="196">
        <f t="shared" ca="1" si="3"/>
        <v>0</v>
      </c>
      <c r="G58" s="196">
        <f t="shared" ca="1" si="3"/>
        <v>0</v>
      </c>
      <c r="H58" s="196">
        <f t="shared" ca="1" si="3"/>
        <v>0</v>
      </c>
      <c r="I58" s="196">
        <f t="shared" ca="1" si="3"/>
        <v>0</v>
      </c>
      <c r="J58" s="196">
        <f t="shared" ca="1" si="3"/>
        <v>0</v>
      </c>
      <c r="K58" s="196">
        <f t="shared" ca="1" si="3"/>
        <v>0</v>
      </c>
      <c r="L58" s="196">
        <f t="shared" ca="1" si="3"/>
        <v>0</v>
      </c>
      <c r="M58" s="196">
        <f t="shared" ca="1" si="3"/>
        <v>0</v>
      </c>
      <c r="N58" s="196">
        <f t="shared" ca="1" si="3"/>
        <v>0</v>
      </c>
      <c r="O58" s="184"/>
      <c r="P58" s="184"/>
      <c r="Q58" s="184"/>
      <c r="R58" s="184"/>
    </row>
    <row r="59" spans="2:18" x14ac:dyDescent="0.25">
      <c r="E59" s="197"/>
      <c r="F59" s="197"/>
      <c r="G59" s="197"/>
      <c r="H59" s="197"/>
      <c r="I59" s="197"/>
      <c r="J59" s="197"/>
      <c r="K59" s="197"/>
      <c r="L59" s="197"/>
      <c r="M59" s="197"/>
      <c r="N59" s="197"/>
      <c r="O59" s="184"/>
      <c r="P59" s="184"/>
      <c r="Q59" s="184"/>
      <c r="R59" s="184"/>
    </row>
    <row r="60" spans="2:18" x14ac:dyDescent="0.25">
      <c r="C60" s="225" t="s">
        <v>166</v>
      </c>
      <c r="E60" s="197"/>
      <c r="F60" s="197"/>
      <c r="G60" s="197"/>
      <c r="H60" s="197"/>
      <c r="I60" s="197"/>
      <c r="J60" s="197"/>
      <c r="K60" s="197"/>
      <c r="L60" s="197"/>
      <c r="M60" s="197"/>
      <c r="N60" s="197"/>
      <c r="O60" s="184"/>
      <c r="P60" s="184"/>
      <c r="Q60" s="184"/>
      <c r="R60" s="184"/>
    </row>
    <row r="61" spans="2:18" x14ac:dyDescent="0.25">
      <c r="B61" s="183">
        <f>B56</f>
        <v>1</v>
      </c>
      <c r="C61" s="222" t="str">
        <f>INPUT!C22</f>
        <v>Full Time</v>
      </c>
      <c r="E61" s="201">
        <f>INPUT!E30</f>
        <v>0</v>
      </c>
      <c r="F61" s="201">
        <f ca="1">ROUND(E61+INPUT!F30+F51-E56,2)</f>
        <v>0</v>
      </c>
      <c r="G61" s="201">
        <f ca="1">ROUND(F61+INPUT!G30+G51-F56,2)</f>
        <v>0</v>
      </c>
      <c r="H61" s="201">
        <f ca="1">ROUND(G61+INPUT!H30+H51-G56,2)</f>
        <v>0</v>
      </c>
      <c r="I61" s="201">
        <f ca="1">ROUND(H61+INPUT!I30+I51-H56,2)</f>
        <v>0</v>
      </c>
      <c r="J61" s="201">
        <f ca="1">ROUND(I61+INPUT!J30+J51-I56,2)</f>
        <v>0</v>
      </c>
      <c r="K61" s="201">
        <f ca="1">ROUND(J61+INPUT!K30+K51-J56,2)</f>
        <v>0</v>
      </c>
      <c r="L61" s="201">
        <f ca="1">ROUND(K61+INPUT!L30+L51-K56,2)</f>
        <v>0</v>
      </c>
      <c r="M61" s="201">
        <f ca="1">ROUND(L61+INPUT!M30+M51-L56,2)</f>
        <v>0</v>
      </c>
      <c r="N61" s="201">
        <f ca="1">ROUND(M61+INPUT!N30+N51-M56,2)</f>
        <v>0</v>
      </c>
      <c r="O61" s="184"/>
      <c r="P61" s="184"/>
      <c r="Q61" s="184"/>
      <c r="R61" s="184"/>
    </row>
    <row r="62" spans="2:18" x14ac:dyDescent="0.25">
      <c r="B62" s="183">
        <f>B57</f>
        <v>2</v>
      </c>
      <c r="C62" s="222" t="str">
        <f>INPUT!C23</f>
        <v>Part Time</v>
      </c>
      <c r="E62" s="201">
        <f>INPUT!E31</f>
        <v>0</v>
      </c>
      <c r="F62" s="201">
        <f ca="1">ROUND(E62+INPUT!F31+F52-E57,2)</f>
        <v>0</v>
      </c>
      <c r="G62" s="201">
        <f ca="1">ROUND(F62+INPUT!G31+G52-F57,2)</f>
        <v>0</v>
      </c>
      <c r="H62" s="201">
        <f ca="1">ROUND(G62+INPUT!H31+H52-G57,2)</f>
        <v>0</v>
      </c>
      <c r="I62" s="201">
        <f ca="1">ROUND(H62+INPUT!I31+I52-H57,2)</f>
        <v>0</v>
      </c>
      <c r="J62" s="201">
        <f ca="1">ROUND(I62+INPUT!J31+J52-I57,2)</f>
        <v>0</v>
      </c>
      <c r="K62" s="201">
        <f ca="1">ROUND(J62+INPUT!K31+K52-J57,2)</f>
        <v>0</v>
      </c>
      <c r="L62" s="201">
        <f ca="1">ROUND(K62+INPUT!L31+L52-K57,2)</f>
        <v>0</v>
      </c>
      <c r="M62" s="201">
        <f ca="1">ROUND(L62+INPUT!M31+M52-L57,2)</f>
        <v>0</v>
      </c>
      <c r="N62" s="201">
        <f ca="1">ROUND(M62+INPUT!N31+N52-M57,2)</f>
        <v>0</v>
      </c>
      <c r="O62" s="184"/>
      <c r="P62" s="184"/>
      <c r="Q62" s="184"/>
      <c r="R62" s="184"/>
    </row>
    <row r="63" spans="2:18" x14ac:dyDescent="0.25">
      <c r="D63" s="195" t="s">
        <v>19</v>
      </c>
      <c r="E63" s="196">
        <f t="shared" ref="E63:N63" si="4">SUM(E61:E62)</f>
        <v>0</v>
      </c>
      <c r="F63" s="196">
        <f t="shared" ca="1" si="4"/>
        <v>0</v>
      </c>
      <c r="G63" s="196">
        <f t="shared" ca="1" si="4"/>
        <v>0</v>
      </c>
      <c r="H63" s="196">
        <f t="shared" ca="1" si="4"/>
        <v>0</v>
      </c>
      <c r="I63" s="196">
        <f t="shared" ca="1" si="4"/>
        <v>0</v>
      </c>
      <c r="J63" s="196">
        <f t="shared" ca="1" si="4"/>
        <v>0</v>
      </c>
      <c r="K63" s="196">
        <f t="shared" ca="1" si="4"/>
        <v>0</v>
      </c>
      <c r="L63" s="196">
        <f t="shared" ca="1" si="4"/>
        <v>0</v>
      </c>
      <c r="M63" s="196">
        <f t="shared" ca="1" si="4"/>
        <v>0</v>
      </c>
      <c r="N63" s="196">
        <f t="shared" ca="1" si="4"/>
        <v>0</v>
      </c>
      <c r="O63" s="184"/>
      <c r="P63" s="184"/>
      <c r="Q63" s="184"/>
      <c r="R63" s="184"/>
    </row>
    <row r="64" spans="2:18" x14ac:dyDescent="0.25">
      <c r="D64" s="184" t="s">
        <v>167</v>
      </c>
      <c r="E64" s="197"/>
      <c r="F64" s="202" t="str">
        <f ca="1">IF(ABS(SUM(INPUT!$E32:F32)+SUM($E53:F53)-SUM($E58:E58)-F63)&lt;0.01,"OK","ERROR")</f>
        <v>OK</v>
      </c>
      <c r="G64" s="202" t="str">
        <f ca="1">IF(ABS(SUM(INPUT!$E32:G32)+SUM($E53:G53)-SUM($E58:F58)-G63)&lt;0.01,"OK","ERROR")</f>
        <v>OK</v>
      </c>
      <c r="H64" s="202" t="str">
        <f ca="1">IF(ABS(SUM(INPUT!$E32:H32)+SUM($E53:H53)-SUM($E58:G58)-H63)&lt;0.01,"OK","ERROR")</f>
        <v>OK</v>
      </c>
      <c r="I64" s="202" t="str">
        <f ca="1">IF(ABS(SUM(INPUT!$E32:I32)+SUM($E53:I53)-SUM($E58:H58)-I63)&lt;0.01,"OK","ERROR")</f>
        <v>OK</v>
      </c>
      <c r="J64" s="202" t="str">
        <f ca="1">IF(ABS(SUM(INPUT!$E32:J32)+SUM($E53:J53)-SUM($E58:I58)-J63)&lt;0.01,"OK","ERROR")</f>
        <v>OK</v>
      </c>
      <c r="K64" s="202" t="str">
        <f ca="1">IF(ABS(SUM(INPUT!$E32:K32)+SUM($E53:K53)-SUM($E58:J58)-K63)&lt;0.01,"OK","ERROR")</f>
        <v>OK</v>
      </c>
      <c r="L64" s="202" t="str">
        <f ca="1">IF(ABS(SUM(INPUT!$E32:L32)+SUM($E53:L53)-SUM($E58:K58)-L63)&lt;0.01,"OK","ERROR")</f>
        <v>OK</v>
      </c>
      <c r="M64" s="202" t="str">
        <f ca="1">IF(ABS(SUM(INPUT!$E32:M32)+SUM($E53:M53)-SUM($E58:L58)-M63)&lt;0.01,"OK","ERROR")</f>
        <v>OK</v>
      </c>
      <c r="N64" s="202" t="str">
        <f ca="1">IF(ABS(SUM(INPUT!$E32:N32)+SUM($E53:N53)-SUM($E58:M58)-N63)&lt;0.01,"OK","ERROR")</f>
        <v>OK</v>
      </c>
      <c r="O64" s="184"/>
      <c r="P64" s="184"/>
      <c r="Q64" s="184"/>
      <c r="R64" s="184"/>
    </row>
    <row r="66" spans="2:17" x14ac:dyDescent="0.25">
      <c r="B66" s="227"/>
      <c r="C66" s="222" t="s">
        <v>168</v>
      </c>
      <c r="E66" s="232">
        <f>+INPUT!E16</f>
        <v>2019</v>
      </c>
      <c r="F66" s="233">
        <f t="shared" ref="F66:N66" si="5">+E66+1</f>
        <v>2020</v>
      </c>
      <c r="G66" s="233">
        <f t="shared" si="5"/>
        <v>2021</v>
      </c>
      <c r="H66" s="233">
        <f t="shared" si="5"/>
        <v>2022</v>
      </c>
      <c r="I66" s="233">
        <f t="shared" si="5"/>
        <v>2023</v>
      </c>
      <c r="J66" s="233">
        <f t="shared" si="5"/>
        <v>2024</v>
      </c>
      <c r="K66" s="233">
        <f t="shared" si="5"/>
        <v>2025</v>
      </c>
      <c r="L66" s="233">
        <f t="shared" si="5"/>
        <v>2026</v>
      </c>
      <c r="M66" s="233">
        <f t="shared" si="5"/>
        <v>2027</v>
      </c>
      <c r="N66" s="233">
        <f t="shared" si="5"/>
        <v>2028</v>
      </c>
    </row>
    <row r="67" spans="2:17" x14ac:dyDescent="0.25">
      <c r="B67" s="227"/>
      <c r="C67" s="222" t="s">
        <v>169</v>
      </c>
      <c r="D67" s="203" t="s">
        <v>170</v>
      </c>
      <c r="E67" s="204">
        <f t="shared" ref="E67:N67" si="6">E42</f>
        <v>1</v>
      </c>
      <c r="F67" s="204">
        <f t="shared" si="6"/>
        <v>2</v>
      </c>
      <c r="G67" s="204">
        <f t="shared" si="6"/>
        <v>3</v>
      </c>
      <c r="H67" s="204">
        <f t="shared" si="6"/>
        <v>4</v>
      </c>
      <c r="I67" s="204">
        <f t="shared" si="6"/>
        <v>5</v>
      </c>
      <c r="J67" s="204">
        <f t="shared" si="6"/>
        <v>6</v>
      </c>
      <c r="K67" s="204">
        <f t="shared" si="6"/>
        <v>7</v>
      </c>
      <c r="L67" s="204">
        <f t="shared" si="6"/>
        <v>8</v>
      </c>
      <c r="M67" s="204">
        <f t="shared" si="6"/>
        <v>9</v>
      </c>
      <c r="N67" s="204">
        <f t="shared" si="6"/>
        <v>10</v>
      </c>
    </row>
    <row r="68" spans="2:17" x14ac:dyDescent="0.25">
      <c r="B68" s="227">
        <v>1</v>
      </c>
      <c r="C68" s="222" t="str">
        <f t="shared" ref="C68:C77" si="7">VLOOKUP(B68,Cohort,2,FALSE)</f>
        <v>Full Time</v>
      </c>
      <c r="D68" s="203">
        <v>1</v>
      </c>
      <c r="E68" s="190">
        <f ca="1">ROUND(IF($D68&gt;E$67,0,IF(E$67=$D68,OFFSET(INPUT!$E$30,0,E$67-1,1,1),IF($D68+INPUT!$G$22=E$67,0,D68*INPUT!$E$22))),2)</f>
        <v>0</v>
      </c>
      <c r="F68" s="190">
        <f ca="1">ROUND(IF($D68&gt;F$67,0,IF(F$67=$D68,OFFSET(INPUT!$E$30,0,F$67-1,1,1),IF($D68+INPUT!$G$22=F$67,0,E68*INPUT!$E$22))),2)</f>
        <v>0</v>
      </c>
      <c r="G68" s="190">
        <f ca="1">ROUND(IF($D68&gt;G$67,0,IF(G$67=$D68,OFFSET(INPUT!$E$30,0,G$67-1,1,1),IF($D68+INPUT!$G$22=G$67,0,F68*INPUT!$E$22))),2)</f>
        <v>0</v>
      </c>
      <c r="H68" s="190">
        <f ca="1">ROUND(IF($D68&gt;H$67,0,IF(H$67=$D68,OFFSET(INPUT!$E$30,0,H$67-1,1,1),IF($D68+INPUT!$G$22=H$67,0,G68*INPUT!$E$22))),2)</f>
        <v>0</v>
      </c>
      <c r="I68" s="190">
        <f ca="1">ROUND(IF($D68&gt;I$67,0,IF(I$67=$D68,OFFSET(INPUT!$E$30,0,I$67-1,1,1),IF($D68+INPUT!$G$22=I$67,0,H68*INPUT!$E$22))),2)</f>
        <v>0</v>
      </c>
      <c r="J68" s="190">
        <f ca="1">ROUND(IF($D68&gt;J$67,0,IF(J$67=$D68,OFFSET(INPUT!$E$30,0,J$67-1,1,1),IF($D68+INPUT!$G$22=J$67,0,I68*INPUT!$E$22))),2)</f>
        <v>0</v>
      </c>
      <c r="K68" s="190">
        <f ca="1">ROUND(IF($D68&gt;K$67,0,IF(K$67=$D68,OFFSET(INPUT!$E$30,0,K$67-1,1,1),IF($D68+INPUT!$G$22=K$67,0,J68*INPUT!$E$22))),2)</f>
        <v>0</v>
      </c>
      <c r="L68" s="190">
        <f ca="1">ROUND(IF($D68&gt;L$67,0,IF(L$67=$D68,OFFSET(INPUT!$E$30,0,L$67-1,1,1),IF($D68+INPUT!$G$22=L$67,0,K68*INPUT!$E$22))),2)</f>
        <v>0</v>
      </c>
      <c r="M68" s="190">
        <f ca="1">ROUND(IF($D68&gt;M$67,0,IF(M$67=$D68,OFFSET(INPUT!$E$30,0,M$67-1,1,1),IF($D68+INPUT!$G$22=M$67,0,L68*INPUT!$E$22))),2)</f>
        <v>0</v>
      </c>
      <c r="N68" s="190">
        <f ca="1">ROUND(IF($D68&gt;N$67,0,IF(N$67=$D68,OFFSET(INPUT!$E$30,0,N$67-1,1,1),IF($D68+INPUT!$G$22=N$67,0,M68*INPUT!$E$22))),2)</f>
        <v>0</v>
      </c>
    </row>
    <row r="69" spans="2:17" x14ac:dyDescent="0.25">
      <c r="B69" s="227">
        <v>1</v>
      </c>
      <c r="C69" s="222" t="str">
        <f t="shared" si="7"/>
        <v>Full Time</v>
      </c>
      <c r="D69" s="203">
        <v>2</v>
      </c>
      <c r="E69" s="190">
        <f ca="1">ROUND(IF($D69&gt;E$67,0,IF(E$67=$D69,OFFSET(INPUT!$E$30,0,E$67-1,1,1),IF($D69+INPUT!$G$22=E$67,0,D69*INPUT!$E$22))),2)</f>
        <v>0</v>
      </c>
      <c r="F69" s="190">
        <f ca="1">ROUND(IF($D69&gt;F$67,0,IF(F$67=$D69,OFFSET(INPUT!$E$30,0,F$67-1,1,1),IF($D69+INPUT!$G$22=F$67,0,E69*INPUT!$E$22))),2)</f>
        <v>0</v>
      </c>
      <c r="G69" s="190">
        <f ca="1">ROUND(IF($D69&gt;G$67,0,IF(G$67=$D69,OFFSET(INPUT!$E$30,0,G$67-1,1,1),IF($D69+INPUT!$G$22=G$67,0,F69*INPUT!$E$22))),2)</f>
        <v>0</v>
      </c>
      <c r="H69" s="190">
        <f ca="1">ROUND(IF($D69&gt;H$67,0,IF(H$67=$D69,OFFSET(INPUT!$E$30,0,H$67-1,1,1),IF($D69+INPUT!$G$22=H$67,0,G69*INPUT!$E$22))),2)</f>
        <v>0</v>
      </c>
      <c r="I69" s="190">
        <f ca="1">ROUND(IF($D69&gt;I$67,0,IF(I$67=$D69,OFFSET(INPUT!$E$30,0,I$67-1,1,1),IF($D69+INPUT!$G$22=I$67,0,H69*INPUT!$E$22))),2)</f>
        <v>0</v>
      </c>
      <c r="J69" s="190">
        <f ca="1">ROUND(IF($D69&gt;J$67,0,IF(J$67=$D69,OFFSET(INPUT!$E$30,0,J$67-1,1,1),IF($D69+INPUT!$G$22=J$67,0,I69*INPUT!$E$22))),2)</f>
        <v>0</v>
      </c>
      <c r="K69" s="190">
        <f ca="1">ROUND(IF($D69&gt;K$67,0,IF(K$67=$D69,OFFSET(INPUT!$E$30,0,K$67-1,1,1),IF($D69+INPUT!$G$22=K$67,0,J69*INPUT!$E$22))),2)</f>
        <v>0</v>
      </c>
      <c r="L69" s="190">
        <f ca="1">ROUND(IF($D69&gt;L$67,0,IF(L$67=$D69,OFFSET(INPUT!$E$30,0,L$67-1,1,1),IF($D69+INPUT!$G$22=L$67,0,K69*INPUT!$E$22))),2)</f>
        <v>0</v>
      </c>
      <c r="M69" s="190">
        <f ca="1">ROUND(IF($D69&gt;M$67,0,IF(M$67=$D69,OFFSET(INPUT!$E$30,0,M$67-1,1,1),IF($D69+INPUT!$G$22=M$67,0,L69*INPUT!$E$22))),2)</f>
        <v>0</v>
      </c>
      <c r="N69" s="190">
        <f ca="1">ROUND(IF($D69&gt;N$67,0,IF(N$67=$D69,OFFSET(INPUT!$E$30,0,N$67-1,1,1),IF($D69+INPUT!$G$22=N$67,0,M69*INPUT!$E$22))),2)</f>
        <v>0</v>
      </c>
    </row>
    <row r="70" spans="2:17" x14ac:dyDescent="0.25">
      <c r="B70" s="227">
        <v>1</v>
      </c>
      <c r="C70" s="222" t="str">
        <f t="shared" si="7"/>
        <v>Full Time</v>
      </c>
      <c r="D70" s="203">
        <v>3</v>
      </c>
      <c r="E70" s="190">
        <f ca="1">ROUND(IF($D70&gt;E$67,0,IF(E$67=$D70,OFFSET(INPUT!$E$30,0,E$67-1,1,1),IF($D70+INPUT!$G$22=E$67,0,D70*INPUT!$E$22))),2)</f>
        <v>0</v>
      </c>
      <c r="F70" s="190">
        <f ca="1">ROUND(IF($D70&gt;F$67,0,IF(F$67=$D70,OFFSET(INPUT!$E$30,0,F$67-1,1,1),IF($D70+INPUT!$G$22=F$67,0,E70*INPUT!$E$22))),2)</f>
        <v>0</v>
      </c>
      <c r="G70" s="190">
        <f ca="1">ROUND(IF($D70&gt;G$67,0,IF(G$67=$D70,OFFSET(INPUT!$E$30,0,G$67-1,1,1),IF($D70+INPUT!$G$22=G$67,0,F70*INPUT!$E$22))),2)</f>
        <v>0</v>
      </c>
      <c r="H70" s="190">
        <f ca="1">ROUND(IF($D70&gt;H$67,0,IF(H$67=$D70,OFFSET(INPUT!$E$30,0,H$67-1,1,1),IF($D70+INPUT!$G$22=H$67,0,G70*INPUT!$E$22))),2)</f>
        <v>0</v>
      </c>
      <c r="I70" s="190">
        <f ca="1">ROUND(IF($D70&gt;I$67,0,IF(I$67=$D70,OFFSET(INPUT!$E$30,0,I$67-1,1,1),IF($D70+INPUT!$G$22=I$67,0,H70*INPUT!$E$22))),2)</f>
        <v>0</v>
      </c>
      <c r="J70" s="190">
        <f ca="1">ROUND(IF($D70&gt;J$67,0,IF(J$67=$D70,OFFSET(INPUT!$E$30,0,J$67-1,1,1),IF($D70+INPUT!$G$22=J$67,0,I70*INPUT!$E$22))),2)</f>
        <v>0</v>
      </c>
      <c r="K70" s="190">
        <f ca="1">ROUND(IF($D70&gt;K$67,0,IF(K$67=$D70,OFFSET(INPUT!$E$30,0,K$67-1,1,1),IF($D70+INPUT!$G$22=K$67,0,J70*INPUT!$E$22))),2)</f>
        <v>0</v>
      </c>
      <c r="L70" s="190">
        <f ca="1">ROUND(IF($D70&gt;L$67,0,IF(L$67=$D70,OFFSET(INPUT!$E$30,0,L$67-1,1,1),IF($D70+INPUT!$G$22=L$67,0,K70*INPUT!$E$22))),2)</f>
        <v>0</v>
      </c>
      <c r="M70" s="190">
        <f ca="1">ROUND(IF($D70&gt;M$67,0,IF(M$67=$D70,OFFSET(INPUT!$E$30,0,M$67-1,1,1),IF($D70+INPUT!$G$22=M$67,0,L70*INPUT!$E$22))),2)</f>
        <v>0</v>
      </c>
      <c r="N70" s="190">
        <f ca="1">ROUND(IF($D70&gt;N$67,0,IF(N$67=$D70,OFFSET(INPUT!$E$30,0,N$67-1,1,1),IF($D70+INPUT!$G$22=N$67,0,M70*INPUT!$E$22))),2)</f>
        <v>0</v>
      </c>
    </row>
    <row r="71" spans="2:17" x14ac:dyDescent="0.25">
      <c r="B71" s="227">
        <v>1</v>
      </c>
      <c r="C71" s="222" t="str">
        <f t="shared" si="7"/>
        <v>Full Time</v>
      </c>
      <c r="D71" s="203">
        <v>4</v>
      </c>
      <c r="E71" s="190">
        <f ca="1">ROUND(IF($D71&gt;E$67,0,IF(E$67=$D71,OFFSET(INPUT!$E$30,0,E$67-1,1,1),IF($D71+INPUT!$G$22=E$67,0,D71*INPUT!$E$22))),2)</f>
        <v>0</v>
      </c>
      <c r="F71" s="190">
        <f ca="1">ROUND(IF($D71&gt;F$67,0,IF(F$67=$D71,OFFSET(INPUT!$E$30,0,F$67-1,1,1),IF($D71+INPUT!$G$22=F$67,0,E71*INPUT!$E$22))),2)</f>
        <v>0</v>
      </c>
      <c r="G71" s="190">
        <f ca="1">ROUND(IF($D71&gt;G$67,0,IF(G$67=$D71,OFFSET(INPUT!$E$30,0,G$67-1,1,1),IF($D71+INPUT!$G$22=G$67,0,F71*INPUT!$E$22))),2)</f>
        <v>0</v>
      </c>
      <c r="H71" s="190">
        <f ca="1">ROUND(IF($D71&gt;H$67,0,IF(H$67=$D71,OFFSET(INPUT!$E$30,0,H$67-1,1,1),IF($D71+INPUT!$G$22=H$67,0,G71*INPUT!$E$22))),2)</f>
        <v>0</v>
      </c>
      <c r="I71" s="190">
        <f ca="1">ROUND(IF($D71&gt;I$67,0,IF(I$67=$D71,OFFSET(INPUT!$E$30,0,I$67-1,1,1),IF($D71+INPUT!$G$22=I$67,0,H71*INPUT!$E$22))),2)</f>
        <v>0</v>
      </c>
      <c r="J71" s="190">
        <f ca="1">ROUND(IF($D71&gt;J$67,0,IF(J$67=$D71,OFFSET(INPUT!$E$30,0,J$67-1,1,1),IF($D71+INPUT!$G$22=J$67,0,I71*INPUT!$E$22))),2)</f>
        <v>0</v>
      </c>
      <c r="K71" s="190">
        <f ca="1">ROUND(IF($D71&gt;K$67,0,IF(K$67=$D71,OFFSET(INPUT!$E$30,0,K$67-1,1,1),IF($D71+INPUT!$G$22=K$67,0,J71*INPUT!$E$22))),2)</f>
        <v>0</v>
      </c>
      <c r="L71" s="190">
        <f ca="1">ROUND(IF($D71&gt;L$67,0,IF(L$67=$D71,OFFSET(INPUT!$E$30,0,L$67-1,1,1),IF($D71+INPUT!$G$22=L$67,0,K71*INPUT!$E$22))),2)</f>
        <v>0</v>
      </c>
      <c r="M71" s="190">
        <f ca="1">ROUND(IF($D71&gt;M$67,0,IF(M$67=$D71,OFFSET(INPUT!$E$30,0,M$67-1,1,1),IF($D71+INPUT!$G$22=M$67,0,L71*INPUT!$E$22))),2)</f>
        <v>0</v>
      </c>
      <c r="N71" s="190">
        <f ca="1">ROUND(IF($D71&gt;N$67,0,IF(N$67=$D71,OFFSET(INPUT!$E$30,0,N$67-1,1,1),IF($D71+INPUT!$G$22=N$67,0,M71*INPUT!$E$22))),2)</f>
        <v>0</v>
      </c>
    </row>
    <row r="72" spans="2:17" x14ac:dyDescent="0.25">
      <c r="B72" s="227">
        <v>1</v>
      </c>
      <c r="C72" s="222" t="str">
        <f t="shared" si="7"/>
        <v>Full Time</v>
      </c>
      <c r="D72" s="203">
        <v>5</v>
      </c>
      <c r="E72" s="190">
        <f ca="1">ROUND(IF($D72&gt;E$67,0,IF(E$67=$D72,OFFSET(INPUT!$E$30,0,E$67-1,1,1),IF($D72+INPUT!$G$22=E$67,0,D72*INPUT!$E$22))),2)</f>
        <v>0</v>
      </c>
      <c r="F72" s="190">
        <f ca="1">ROUND(IF($D72&gt;F$67,0,IF(F$67=$D72,OFFSET(INPUT!$E$30,0,F$67-1,1,1),IF($D72+INPUT!$G$22=F$67,0,E72*INPUT!$E$22))),2)</f>
        <v>0</v>
      </c>
      <c r="G72" s="190">
        <f ca="1">ROUND(IF($D72&gt;G$67,0,IF(G$67=$D72,OFFSET(INPUT!$E$30,0,G$67-1,1,1),IF($D72+INPUT!$G$22=G$67,0,F72*INPUT!$E$22))),2)</f>
        <v>0</v>
      </c>
      <c r="H72" s="190">
        <f ca="1">ROUND(IF($D72&gt;H$67,0,IF(H$67=$D72,OFFSET(INPUT!$E$30,0,H$67-1,1,1),IF($D72+INPUT!$G$22=H$67,0,G72*INPUT!$E$22))),2)</f>
        <v>0</v>
      </c>
      <c r="I72" s="190">
        <f ca="1">ROUND(IF($D72&gt;I$67,0,IF(I$67=$D72,OFFSET(INPUT!$E$30,0,I$67-1,1,1),IF($D72+INPUT!$G$22=I$67,0,H72*INPUT!$E$22))),2)</f>
        <v>0</v>
      </c>
      <c r="J72" s="190">
        <f ca="1">ROUND(IF($D72&gt;J$67,0,IF(J$67=$D72,OFFSET(INPUT!$E$30,0,J$67-1,1,1),IF($D72+INPUT!$G$22=J$67,0,I72*INPUT!$E$22))),2)</f>
        <v>0</v>
      </c>
      <c r="K72" s="190">
        <f ca="1">ROUND(IF($D72&gt;K$67,0,IF(K$67=$D72,OFFSET(INPUT!$E$30,0,K$67-1,1,1),IF($D72+INPUT!$G$22=K$67,0,J72*INPUT!$E$22))),2)</f>
        <v>0</v>
      </c>
      <c r="L72" s="190">
        <f ca="1">ROUND(IF($D72&gt;L$67,0,IF(L$67=$D72,OFFSET(INPUT!$E$30,0,L$67-1,1,1),IF($D72+INPUT!$G$22=L$67,0,K72*INPUT!$E$22))),2)</f>
        <v>0</v>
      </c>
      <c r="M72" s="190">
        <f ca="1">ROUND(IF($D72&gt;M$67,0,IF(M$67=$D72,OFFSET(INPUT!$E$30,0,M$67-1,1,1),IF($D72+INPUT!$G$22=M$67,0,L72*INPUT!$E$22))),2)</f>
        <v>0</v>
      </c>
      <c r="N72" s="190">
        <f ca="1">ROUND(IF($D72&gt;N$67,0,IF(N$67=$D72,OFFSET(INPUT!$E$30,0,N$67-1,1,1),IF($D72+INPUT!$G$22=N$67,0,M72*INPUT!$E$22))),2)</f>
        <v>0</v>
      </c>
    </row>
    <row r="73" spans="2:17" x14ac:dyDescent="0.25">
      <c r="B73" s="227">
        <v>1</v>
      </c>
      <c r="C73" s="222" t="str">
        <f t="shared" si="7"/>
        <v>Full Time</v>
      </c>
      <c r="D73" s="203">
        <v>6</v>
      </c>
      <c r="E73" s="190">
        <f ca="1">ROUND(IF($D73&gt;E$67,0,IF(E$67=$D73,OFFSET(INPUT!$E$30,0,E$67-1,1,1),IF($D73+INPUT!$G$22=E$67,0,D73*INPUT!$E$22))),2)</f>
        <v>0</v>
      </c>
      <c r="F73" s="190">
        <f ca="1">ROUND(IF($D73&gt;F$67,0,IF(F$67=$D73,OFFSET(INPUT!$E$30,0,F$67-1,1,1),IF($D73+INPUT!$G$22=F$67,0,E73*INPUT!$E$22))),2)</f>
        <v>0</v>
      </c>
      <c r="G73" s="190">
        <f ca="1">ROUND(IF($D73&gt;G$67,0,IF(G$67=$D73,OFFSET(INPUT!$E$30,0,G$67-1,1,1),IF($D73+INPUT!$G$22=G$67,0,F73*INPUT!$E$22))),2)</f>
        <v>0</v>
      </c>
      <c r="H73" s="190">
        <f ca="1">ROUND(IF($D73&gt;H$67,0,IF(H$67=$D73,OFFSET(INPUT!$E$30,0,H$67-1,1,1),IF($D73+INPUT!$G$22=H$67,0,G73*INPUT!$E$22))),2)</f>
        <v>0</v>
      </c>
      <c r="I73" s="190">
        <f ca="1">ROUND(IF($D73&gt;I$67,0,IF(I$67=$D73,OFFSET(INPUT!$E$30,0,I$67-1,1,1),IF($D73+INPUT!$G$22=I$67,0,H73*INPUT!$E$22))),2)</f>
        <v>0</v>
      </c>
      <c r="J73" s="190">
        <f ca="1">ROUND(IF($D73&gt;J$67,0,IF(J$67=$D73,OFFSET(INPUT!$E$30,0,J$67-1,1,1),IF($D73+INPUT!$G$22=J$67,0,I73*INPUT!$E$22))),2)</f>
        <v>0</v>
      </c>
      <c r="K73" s="190">
        <f ca="1">ROUND(IF($D73&gt;K$67,0,IF(K$67=$D73,OFFSET(INPUT!$E$30,0,K$67-1,1,1),IF($D73+INPUT!$G$22=K$67,0,J73*INPUT!$E$22))),2)</f>
        <v>0</v>
      </c>
      <c r="L73" s="190">
        <f ca="1">ROUND(IF($D73&gt;L$67,0,IF(L$67=$D73,OFFSET(INPUT!$E$30,0,L$67-1,1,1),IF($D73+INPUT!$G$22=L$67,0,K73*INPUT!$E$22))),2)</f>
        <v>0</v>
      </c>
      <c r="M73" s="190">
        <f ca="1">ROUND(IF($D73&gt;M$67,0,IF(M$67=$D73,OFFSET(INPUT!$E$30,0,M$67-1,1,1),IF($D73+INPUT!$G$22=M$67,0,L73*INPUT!$E$22))),2)</f>
        <v>0</v>
      </c>
      <c r="N73" s="190">
        <f ca="1">ROUND(IF($D73&gt;N$67,0,IF(N$67=$D73,OFFSET(INPUT!$E$30,0,N$67-1,1,1),IF($D73+INPUT!$G$22=N$67,0,M73*INPUT!$E$22))),2)</f>
        <v>0</v>
      </c>
    </row>
    <row r="74" spans="2:17" x14ac:dyDescent="0.25">
      <c r="B74" s="227">
        <v>1</v>
      </c>
      <c r="C74" s="222" t="str">
        <f t="shared" si="7"/>
        <v>Full Time</v>
      </c>
      <c r="D74" s="203">
        <v>7</v>
      </c>
      <c r="E74" s="190">
        <f ca="1">ROUND(IF($D74&gt;E$67,0,IF(E$67=$D74,OFFSET(INPUT!$E$30,0,E$67-1,1,1),IF($D74+INPUT!$G$22=E$67,0,D74*INPUT!$E$22))),2)</f>
        <v>0</v>
      </c>
      <c r="F74" s="190">
        <f ca="1">ROUND(IF($D74&gt;F$67,0,IF(F$67=$D74,OFFSET(INPUT!$E$30,0,F$67-1,1,1),IF($D74+INPUT!$G$22=F$67,0,E74*INPUT!$E$22))),2)</f>
        <v>0</v>
      </c>
      <c r="G74" s="190">
        <f ca="1">ROUND(IF($D74&gt;G$67,0,IF(G$67=$D74,OFFSET(INPUT!$E$30,0,G$67-1,1,1),IF($D74+INPUT!$G$22=G$67,0,F74*INPUT!$E$22))),2)</f>
        <v>0</v>
      </c>
      <c r="H74" s="190">
        <f ca="1">ROUND(IF($D74&gt;H$67,0,IF(H$67=$D74,OFFSET(INPUT!$E$30,0,H$67-1,1,1),IF($D74+INPUT!$G$22=H$67,0,G74*INPUT!$E$22))),2)</f>
        <v>0</v>
      </c>
      <c r="I74" s="190">
        <f ca="1">ROUND(IF($D74&gt;I$67,0,IF(I$67=$D74,OFFSET(INPUT!$E$30,0,I$67-1,1,1),IF($D74+INPUT!$G$22=I$67,0,H74*INPUT!$E$22))),2)</f>
        <v>0</v>
      </c>
      <c r="J74" s="190">
        <f ca="1">ROUND(IF($D74&gt;J$67,0,IF(J$67=$D74,OFFSET(INPUT!$E$30,0,J$67-1,1,1),IF($D74+INPUT!$G$22=J$67,0,I74*INPUT!$E$22))),2)</f>
        <v>0</v>
      </c>
      <c r="K74" s="190">
        <f ca="1">ROUND(IF($D74&gt;K$67,0,IF(K$67=$D74,OFFSET(INPUT!$E$30,0,K$67-1,1,1),IF($D74+INPUT!$G$22=K$67,0,J74*INPUT!$E$22))),2)</f>
        <v>0</v>
      </c>
      <c r="L74" s="190">
        <f ca="1">ROUND(IF($D74&gt;L$67,0,IF(L$67=$D74,OFFSET(INPUT!$E$30,0,L$67-1,1,1),IF($D74+INPUT!$G$22=L$67,0,K74*INPUT!$E$22))),2)</f>
        <v>0</v>
      </c>
      <c r="M74" s="190">
        <f ca="1">ROUND(IF($D74&gt;M$67,0,IF(M$67=$D74,OFFSET(INPUT!$E$30,0,M$67-1,1,1),IF($D74+INPUT!$G$22=M$67,0,L74*INPUT!$E$22))),2)</f>
        <v>0</v>
      </c>
      <c r="N74" s="190">
        <f ca="1">ROUND(IF($D74&gt;N$67,0,IF(N$67=$D74,OFFSET(INPUT!$E$30,0,N$67-1,1,1),IF($D74+INPUT!$G$22=N$67,0,M74*INPUT!$E$22))),2)</f>
        <v>0</v>
      </c>
    </row>
    <row r="75" spans="2:17" x14ac:dyDescent="0.25">
      <c r="B75" s="227">
        <v>1</v>
      </c>
      <c r="C75" s="222" t="str">
        <f t="shared" si="7"/>
        <v>Full Time</v>
      </c>
      <c r="D75" s="203">
        <v>8</v>
      </c>
      <c r="E75" s="190">
        <f ca="1">ROUND(IF($D75&gt;E$67,0,IF(E$67=$D75,OFFSET(INPUT!$E$30,0,E$67-1,1,1),IF($D75+INPUT!$G$22=E$67,0,D75*INPUT!$E$22))),2)</f>
        <v>0</v>
      </c>
      <c r="F75" s="190">
        <f ca="1">ROUND(IF($D75&gt;F$67,0,IF(F$67=$D75,OFFSET(INPUT!$E$30,0,F$67-1,1,1),IF($D75+INPUT!$G$22=F$67,0,E75*INPUT!$E$22))),2)</f>
        <v>0</v>
      </c>
      <c r="G75" s="190">
        <f ca="1">ROUND(IF($D75&gt;G$67,0,IF(G$67=$D75,OFFSET(INPUT!$E$30,0,G$67-1,1,1),IF($D75+INPUT!$G$22=G$67,0,F75*INPUT!$E$22))),2)</f>
        <v>0</v>
      </c>
      <c r="H75" s="190">
        <f ca="1">ROUND(IF($D75&gt;H$67,0,IF(H$67=$D75,OFFSET(INPUT!$E$30,0,H$67-1,1,1),IF($D75+INPUT!$G$22=H$67,0,G75*INPUT!$E$22))),2)</f>
        <v>0</v>
      </c>
      <c r="I75" s="190">
        <f ca="1">ROUND(IF($D75&gt;I$67,0,IF(I$67=$D75,OFFSET(INPUT!$E$30,0,I$67-1,1,1),IF($D75+INPUT!$G$22=I$67,0,H75*INPUT!$E$22))),2)</f>
        <v>0</v>
      </c>
      <c r="J75" s="190">
        <f ca="1">ROUND(IF($D75&gt;J$67,0,IF(J$67=$D75,OFFSET(INPUT!$E$30,0,J$67-1,1,1),IF($D75+INPUT!$G$22=J$67,0,I75*INPUT!$E$22))),2)</f>
        <v>0</v>
      </c>
      <c r="K75" s="190">
        <f ca="1">ROUND(IF($D75&gt;K$67,0,IF(K$67=$D75,OFFSET(INPUT!$E$30,0,K$67-1,1,1),IF($D75+INPUT!$G$22=K$67,0,J75*INPUT!$E$22))),2)</f>
        <v>0</v>
      </c>
      <c r="L75" s="190">
        <f ca="1">ROUND(IF($D75&gt;L$67,0,IF(L$67=$D75,OFFSET(INPUT!$E$30,0,L$67-1,1,1),IF($D75+INPUT!$G$22=L$67,0,K75*INPUT!$E$22))),2)</f>
        <v>0</v>
      </c>
      <c r="M75" s="190">
        <f ca="1">ROUND(IF($D75&gt;M$67,0,IF(M$67=$D75,OFFSET(INPUT!$E$30,0,M$67-1,1,1),IF($D75+INPUT!$G$22=M$67,0,L75*INPUT!$E$22))),2)</f>
        <v>0</v>
      </c>
      <c r="N75" s="190">
        <f ca="1">ROUND(IF($D75&gt;N$67,0,IF(N$67=$D75,OFFSET(INPUT!$E$30,0,N$67-1,1,1),IF($D75+INPUT!$G$22=N$67,0,M75*INPUT!$E$22))),2)</f>
        <v>0</v>
      </c>
    </row>
    <row r="76" spans="2:17" x14ac:dyDescent="0.25">
      <c r="B76" s="227">
        <v>1</v>
      </c>
      <c r="C76" s="222" t="str">
        <f t="shared" si="7"/>
        <v>Full Time</v>
      </c>
      <c r="D76" s="203">
        <v>9</v>
      </c>
      <c r="E76" s="190">
        <f ca="1">ROUND(IF($D76&gt;E$67,0,IF(E$67=$D76,OFFSET(INPUT!$E$30,0,E$67-1,1,1),IF($D76+INPUT!$G$22=E$67,0,D76*INPUT!$E$22))),2)</f>
        <v>0</v>
      </c>
      <c r="F76" s="190">
        <f ca="1">ROUND(IF($D76&gt;F$67,0,IF(F$67=$D76,OFFSET(INPUT!$E$30,0,F$67-1,1,1),IF($D76+INPUT!$G$22=F$67,0,E76*INPUT!$E$22))),2)</f>
        <v>0</v>
      </c>
      <c r="G76" s="190">
        <f ca="1">ROUND(IF($D76&gt;G$67,0,IF(G$67=$D76,OFFSET(INPUT!$E$30,0,G$67-1,1,1),IF($D76+INPUT!$G$22=G$67,0,F76*INPUT!$E$22))),2)</f>
        <v>0</v>
      </c>
      <c r="H76" s="190">
        <f ca="1">ROUND(IF($D76&gt;H$67,0,IF(H$67=$D76,OFFSET(INPUT!$E$30,0,H$67-1,1,1),IF($D76+INPUT!$G$22=H$67,0,G76*INPUT!$E$22))),2)</f>
        <v>0</v>
      </c>
      <c r="I76" s="190">
        <f ca="1">ROUND(IF($D76&gt;I$67,0,IF(I$67=$D76,OFFSET(INPUT!$E$30,0,I$67-1,1,1),IF($D76+INPUT!$G$22=I$67,0,H76*INPUT!$E$22))),2)</f>
        <v>0</v>
      </c>
      <c r="J76" s="190">
        <f ca="1">ROUND(IF($D76&gt;J$67,0,IF(J$67=$D76,OFFSET(INPUT!$E$30,0,J$67-1,1,1),IF($D76+INPUT!$G$22=J$67,0,I76*INPUT!$E$22))),2)</f>
        <v>0</v>
      </c>
      <c r="K76" s="190">
        <f ca="1">ROUND(IF($D76&gt;K$67,0,IF(K$67=$D76,OFFSET(INPUT!$E$30,0,K$67-1,1,1),IF($D76+INPUT!$G$22=K$67,0,J76*INPUT!$E$22))),2)</f>
        <v>0</v>
      </c>
      <c r="L76" s="190">
        <f ca="1">ROUND(IF($D76&gt;L$67,0,IF(L$67=$D76,OFFSET(INPUT!$E$30,0,L$67-1,1,1),IF($D76+INPUT!$G$22=L$67,0,K76*INPUT!$E$22))),2)</f>
        <v>0</v>
      </c>
      <c r="M76" s="190">
        <f ca="1">ROUND(IF($D76&gt;M$67,0,IF(M$67=$D76,OFFSET(INPUT!$E$30,0,M$67-1,1,1),IF($D76+INPUT!$G$22=M$67,0,L76*INPUT!$E$22))),2)</f>
        <v>0</v>
      </c>
      <c r="N76" s="190">
        <f ca="1">ROUND(IF($D76&gt;N$67,0,IF(N$67=$D76,OFFSET(INPUT!$E$30,0,N$67-1,1,1),IF($D76+INPUT!$G$22=N$67,0,M76*INPUT!$E$22))),2)</f>
        <v>0</v>
      </c>
    </row>
    <row r="77" spans="2:17" x14ac:dyDescent="0.25">
      <c r="B77" s="227">
        <v>1</v>
      </c>
      <c r="C77" s="222" t="str">
        <f t="shared" si="7"/>
        <v>Full Time</v>
      </c>
      <c r="D77" s="203">
        <v>10</v>
      </c>
      <c r="E77" s="190">
        <f ca="1">ROUND(IF($D77&gt;E$67,0,IF(E$67=$D77,OFFSET(INPUT!$E$30,0,E$67-1,1,1),IF($D77+INPUT!$G$22=E$67,0,D77*INPUT!$E$22))),2)</f>
        <v>0</v>
      </c>
      <c r="F77" s="190">
        <f ca="1">ROUND(IF($D77&gt;F$67,0,IF(F$67=$D77,OFFSET(INPUT!$E$30,0,F$67-1,1,1),IF($D77+INPUT!$G$22=F$67,0,E77*INPUT!$E$22))),2)</f>
        <v>0</v>
      </c>
      <c r="G77" s="190">
        <f ca="1">ROUND(IF($D77&gt;G$67,0,IF(G$67=$D77,OFFSET(INPUT!$E$30,0,G$67-1,1,1),IF($D77+INPUT!$G$22=G$67,0,F77*INPUT!$E$22))),2)</f>
        <v>0</v>
      </c>
      <c r="H77" s="190">
        <f ca="1">ROUND(IF($D77&gt;H$67,0,IF(H$67=$D77,OFFSET(INPUT!$E$30,0,H$67-1,1,1),IF($D77+INPUT!$G$22=H$67,0,G77*INPUT!$E$22))),2)</f>
        <v>0</v>
      </c>
      <c r="I77" s="190">
        <f ca="1">ROUND(IF($D77&gt;I$67,0,IF(I$67=$D77,OFFSET(INPUT!$E$30,0,I$67-1,1,1),IF($D77+INPUT!$G$22=I$67,0,H77*INPUT!$E$22))),2)</f>
        <v>0</v>
      </c>
      <c r="J77" s="190">
        <f ca="1">ROUND(IF($D77&gt;J$67,0,IF(J$67=$D77,OFFSET(INPUT!$E$30,0,J$67-1,1,1),IF($D77+INPUT!$G$22=J$67,0,I77*INPUT!$E$22))),2)</f>
        <v>0</v>
      </c>
      <c r="K77" s="190">
        <f ca="1">ROUND(IF($D77&gt;K$67,0,IF(K$67=$D77,OFFSET(INPUT!$E$30,0,K$67-1,1,1),IF($D77+INPUT!$G$22=K$67,0,J77*INPUT!$E$22))),2)</f>
        <v>0</v>
      </c>
      <c r="L77" s="190">
        <f ca="1">ROUND(IF($D77&gt;L$67,0,IF(L$67=$D77,OFFSET(INPUT!$E$30,0,L$67-1,1,1),IF($D77+INPUT!$G$22=L$67,0,K77*INPUT!$E$22))),2)</f>
        <v>0</v>
      </c>
      <c r="M77" s="190">
        <f ca="1">ROUND(IF($D77&gt;M$67,0,IF(M$67=$D77,OFFSET(INPUT!$E$30,0,M$67-1,1,1),IF($D77+INPUT!$G$22=M$67,0,L77*INPUT!$E$22))),2)</f>
        <v>0</v>
      </c>
      <c r="N77" s="190">
        <f ca="1">ROUND(IF($D77&gt;N$67,0,IF(N$67=$D77,OFFSET(INPUT!$E$30,0,N$67-1,1,1),IF($D77+INPUT!$G$22=N$67,0,M77*INPUT!$E$22))),2)</f>
        <v>0</v>
      </c>
    </row>
    <row r="78" spans="2:17" x14ac:dyDescent="0.25">
      <c r="B78" s="227"/>
      <c r="E78" s="205">
        <f t="shared" ref="E78:N78" ca="1" si="8">SUM(E68:E77)</f>
        <v>0</v>
      </c>
      <c r="F78" s="205">
        <f t="shared" ca="1" si="8"/>
        <v>0</v>
      </c>
      <c r="G78" s="205">
        <f t="shared" ca="1" si="8"/>
        <v>0</v>
      </c>
      <c r="H78" s="205">
        <f t="shared" ca="1" si="8"/>
        <v>0</v>
      </c>
      <c r="I78" s="205">
        <f t="shared" ca="1" si="8"/>
        <v>0</v>
      </c>
      <c r="J78" s="205">
        <f t="shared" ca="1" si="8"/>
        <v>0</v>
      </c>
      <c r="K78" s="205">
        <f t="shared" ca="1" si="8"/>
        <v>0</v>
      </c>
      <c r="L78" s="205">
        <f t="shared" ca="1" si="8"/>
        <v>0</v>
      </c>
      <c r="M78" s="205">
        <f t="shared" ca="1" si="8"/>
        <v>0</v>
      </c>
      <c r="N78" s="205">
        <f t="shared" ca="1" si="8"/>
        <v>0</v>
      </c>
    </row>
    <row r="79" spans="2:17" x14ac:dyDescent="0.25">
      <c r="B79" s="227"/>
    </row>
    <row r="80" spans="2:17" x14ac:dyDescent="0.25">
      <c r="B80" s="227"/>
      <c r="C80" s="222" t="s">
        <v>171</v>
      </c>
      <c r="D80" s="203">
        <v>1</v>
      </c>
      <c r="E80" s="190">
        <f t="shared" ref="E80:N85" ca="1" si="9">IF(OR(E$67+1&gt;11,$D80&gt;E$67),0,INDEX(Student1,E$67-$D80+2,E$67+1))</f>
        <v>0</v>
      </c>
      <c r="F80" s="190">
        <f t="shared" ca="1" si="9"/>
        <v>0</v>
      </c>
      <c r="G80" s="190">
        <f t="shared" ca="1" si="9"/>
        <v>0</v>
      </c>
      <c r="H80" s="190">
        <f t="shared" ca="1" si="9"/>
        <v>0</v>
      </c>
      <c r="I80" s="190">
        <f t="shared" ca="1" si="9"/>
        <v>0</v>
      </c>
      <c r="J80" s="190">
        <f t="shared" ca="1" si="9"/>
        <v>0</v>
      </c>
      <c r="K80" s="190">
        <f t="shared" ca="1" si="9"/>
        <v>0</v>
      </c>
      <c r="L80" s="190">
        <f t="shared" ca="1" si="9"/>
        <v>0</v>
      </c>
      <c r="M80" s="190">
        <f t="shared" ca="1" si="9"/>
        <v>0</v>
      </c>
      <c r="N80" s="190">
        <f t="shared" ca="1" si="9"/>
        <v>0</v>
      </c>
      <c r="P80" s="183">
        <f>INPUT!E19</f>
        <v>30</v>
      </c>
      <c r="Q80" s="283">
        <f>IF(INPUT!$H$14="Grad",1,IF(INPUT!$H$14="UG",ROUND(P80/INPUT!$K$19*4*2,0)/2,0))</f>
        <v>1</v>
      </c>
    </row>
    <row r="81" spans="1:18" x14ac:dyDescent="0.25">
      <c r="B81" s="227"/>
      <c r="D81" s="203">
        <v>2</v>
      </c>
      <c r="E81" s="190">
        <f t="shared" si="9"/>
        <v>0</v>
      </c>
      <c r="F81" s="190">
        <f t="shared" ca="1" si="9"/>
        <v>0</v>
      </c>
      <c r="G81" s="190">
        <f t="shared" ca="1" si="9"/>
        <v>0</v>
      </c>
      <c r="H81" s="190">
        <f t="shared" ca="1" si="9"/>
        <v>0</v>
      </c>
      <c r="I81" s="190">
        <f t="shared" ca="1" si="9"/>
        <v>0</v>
      </c>
      <c r="J81" s="190">
        <f t="shared" ca="1" si="9"/>
        <v>0</v>
      </c>
      <c r="K81" s="190">
        <f t="shared" ca="1" si="9"/>
        <v>0</v>
      </c>
      <c r="L81" s="190">
        <f t="shared" ca="1" si="9"/>
        <v>0</v>
      </c>
      <c r="M81" s="190">
        <f t="shared" ca="1" si="9"/>
        <v>0</v>
      </c>
      <c r="N81" s="190">
        <f t="shared" ca="1" si="9"/>
        <v>0</v>
      </c>
      <c r="P81" s="183">
        <f>INPUT!F19</f>
        <v>33</v>
      </c>
      <c r="Q81" s="283">
        <f>IF(INPUT!$H$14="Grad",1,IF(INPUT!$H$14="UG",ROUND(P81/INPUT!$K$19*4*2,0)/2,0))</f>
        <v>1</v>
      </c>
    </row>
    <row r="82" spans="1:18" x14ac:dyDescent="0.25">
      <c r="B82" s="227"/>
      <c r="D82" s="203">
        <v>3</v>
      </c>
      <c r="E82" s="190">
        <f t="shared" si="9"/>
        <v>0</v>
      </c>
      <c r="F82" s="190">
        <f t="shared" si="9"/>
        <v>0</v>
      </c>
      <c r="G82" s="190">
        <f t="shared" ca="1" si="9"/>
        <v>0</v>
      </c>
      <c r="H82" s="190">
        <f t="shared" ca="1" si="9"/>
        <v>0</v>
      </c>
      <c r="I82" s="190">
        <f t="shared" ca="1" si="9"/>
        <v>0</v>
      </c>
      <c r="J82" s="190">
        <f t="shared" ca="1" si="9"/>
        <v>0</v>
      </c>
      <c r="K82" s="190">
        <f t="shared" ca="1" si="9"/>
        <v>0</v>
      </c>
      <c r="L82" s="190">
        <f t="shared" ca="1" si="9"/>
        <v>0</v>
      </c>
      <c r="M82" s="190">
        <f t="shared" ca="1" si="9"/>
        <v>0</v>
      </c>
      <c r="N82" s="190">
        <f t="shared" ca="1" si="9"/>
        <v>0</v>
      </c>
      <c r="P82" s="183">
        <f>INPUT!G19</f>
        <v>30</v>
      </c>
      <c r="Q82" s="283">
        <f>IF(INPUT!$H$14="Grad",1,IF(INPUT!$H$14="UG",ROUND(P82/INPUT!$K$19*4*2,0)/2,0))</f>
        <v>1</v>
      </c>
    </row>
    <row r="83" spans="1:18" x14ac:dyDescent="0.25">
      <c r="B83" s="227"/>
      <c r="D83" s="203">
        <v>4</v>
      </c>
      <c r="E83" s="190">
        <f t="shared" si="9"/>
        <v>0</v>
      </c>
      <c r="F83" s="190">
        <f t="shared" si="9"/>
        <v>0</v>
      </c>
      <c r="G83" s="190">
        <f t="shared" si="9"/>
        <v>0</v>
      </c>
      <c r="H83" s="190">
        <f t="shared" ca="1" si="9"/>
        <v>0</v>
      </c>
      <c r="I83" s="190">
        <f t="shared" ca="1" si="9"/>
        <v>0</v>
      </c>
      <c r="J83" s="190">
        <f t="shared" ca="1" si="9"/>
        <v>0</v>
      </c>
      <c r="K83" s="190">
        <f t="shared" ca="1" si="9"/>
        <v>0</v>
      </c>
      <c r="L83" s="190">
        <f t="shared" ca="1" si="9"/>
        <v>0</v>
      </c>
      <c r="M83" s="190">
        <f t="shared" ca="1" si="9"/>
        <v>0</v>
      </c>
      <c r="N83" s="190">
        <f t="shared" ca="1" si="9"/>
        <v>0</v>
      </c>
      <c r="P83" s="183">
        <f>INPUT!H19</f>
        <v>30</v>
      </c>
      <c r="Q83" s="283">
        <f>IF(INPUT!$H$14="Grad",1,IF(INPUT!$H$14="UG",ROUND(P83/INPUT!$K$19*4*2,0)/2,0))</f>
        <v>1</v>
      </c>
    </row>
    <row r="84" spans="1:18" x14ac:dyDescent="0.25">
      <c r="B84" s="227"/>
      <c r="D84" s="203">
        <v>5</v>
      </c>
      <c r="E84" s="190">
        <f t="shared" si="9"/>
        <v>0</v>
      </c>
      <c r="F84" s="190">
        <f t="shared" si="9"/>
        <v>0</v>
      </c>
      <c r="G84" s="190">
        <f t="shared" si="9"/>
        <v>0</v>
      </c>
      <c r="H84" s="190">
        <f t="shared" si="9"/>
        <v>0</v>
      </c>
      <c r="I84" s="190">
        <f t="shared" ca="1" si="9"/>
        <v>0</v>
      </c>
      <c r="J84" s="190">
        <f t="shared" ca="1" si="9"/>
        <v>0</v>
      </c>
      <c r="K84" s="190">
        <f t="shared" ca="1" si="9"/>
        <v>0</v>
      </c>
      <c r="L84" s="190">
        <f t="shared" ca="1" si="9"/>
        <v>0</v>
      </c>
      <c r="M84" s="190">
        <f t="shared" ca="1" si="9"/>
        <v>0</v>
      </c>
      <c r="N84" s="190">
        <f t="shared" ca="1" si="9"/>
        <v>0</v>
      </c>
      <c r="P84" s="183">
        <f>INPUT!I19</f>
        <v>0</v>
      </c>
      <c r="Q84" s="283">
        <f>IF(INPUT!$H$14="Grad",1,IF(INPUT!$H$14="UG",ROUND(P84/INPUT!$K$19*4*2,0)/2,0))</f>
        <v>0</v>
      </c>
    </row>
    <row r="85" spans="1:18" x14ac:dyDescent="0.25">
      <c r="B85" s="227"/>
      <c r="D85" s="203">
        <v>6</v>
      </c>
      <c r="E85" s="190">
        <f t="shared" si="9"/>
        <v>0</v>
      </c>
      <c r="F85" s="190">
        <f t="shared" si="9"/>
        <v>0</v>
      </c>
      <c r="G85" s="190">
        <f t="shared" si="9"/>
        <v>0</v>
      </c>
      <c r="H85" s="190">
        <f t="shared" si="9"/>
        <v>0</v>
      </c>
      <c r="I85" s="190">
        <f t="shared" si="9"/>
        <v>0</v>
      </c>
      <c r="J85" s="190">
        <f t="shared" ca="1" si="9"/>
        <v>0</v>
      </c>
      <c r="K85" s="190">
        <f t="shared" ca="1" si="9"/>
        <v>0</v>
      </c>
      <c r="L85" s="190">
        <f t="shared" ca="1" si="9"/>
        <v>0</v>
      </c>
      <c r="M85" s="190">
        <f t="shared" ca="1" si="9"/>
        <v>0</v>
      </c>
      <c r="N85" s="190">
        <f t="shared" ca="1" si="9"/>
        <v>0</v>
      </c>
      <c r="P85" s="183">
        <f>INPUT!J19</f>
        <v>0</v>
      </c>
      <c r="Q85" s="283">
        <f>IF(INPUT!$H$14="Grad",1,IF(INPUT!$H$14="UG",ROUND(P85/INPUT!$K$19*4*2,0)/2,0))</f>
        <v>0</v>
      </c>
    </row>
    <row r="86" spans="1:18" x14ac:dyDescent="0.25">
      <c r="B86" s="227"/>
      <c r="D86" s="184"/>
      <c r="E86" s="205">
        <f t="shared" ref="E86:N86" ca="1" si="10">SUM(E80:E85)</f>
        <v>0</v>
      </c>
      <c r="F86" s="205">
        <f t="shared" ca="1" si="10"/>
        <v>0</v>
      </c>
      <c r="G86" s="205">
        <f t="shared" ca="1" si="10"/>
        <v>0</v>
      </c>
      <c r="H86" s="205">
        <f t="shared" ca="1" si="10"/>
        <v>0</v>
      </c>
      <c r="I86" s="205">
        <f t="shared" ca="1" si="10"/>
        <v>0</v>
      </c>
      <c r="J86" s="205">
        <f t="shared" ca="1" si="10"/>
        <v>0</v>
      </c>
      <c r="K86" s="205">
        <f t="shared" ca="1" si="10"/>
        <v>0</v>
      </c>
      <c r="L86" s="205">
        <f t="shared" ca="1" si="10"/>
        <v>0</v>
      </c>
      <c r="M86" s="205">
        <f t="shared" ca="1" si="10"/>
        <v>0</v>
      </c>
      <c r="N86" s="205">
        <f t="shared" ca="1" si="10"/>
        <v>0</v>
      </c>
    </row>
    <row r="87" spans="1:18" x14ac:dyDescent="0.25">
      <c r="B87" s="227"/>
      <c r="D87" s="255"/>
      <c r="E87" s="210"/>
      <c r="F87" s="210"/>
      <c r="G87" s="210"/>
      <c r="H87" s="210"/>
      <c r="I87" s="210"/>
      <c r="J87" s="210"/>
      <c r="K87" s="210"/>
      <c r="L87" s="210"/>
      <c r="M87" s="210"/>
      <c r="N87" s="210"/>
    </row>
    <row r="88" spans="1:18" ht="15" x14ac:dyDescent="0.25">
      <c r="A88" s="374"/>
      <c r="B88" s="374"/>
      <c r="C88" s="374"/>
      <c r="D88" s="375"/>
      <c r="E88" s="376"/>
      <c r="F88" s="376"/>
      <c r="G88" s="376"/>
      <c r="H88" s="376"/>
      <c r="I88" s="376"/>
      <c r="J88" s="376"/>
      <c r="K88" s="376"/>
      <c r="L88" s="376"/>
      <c r="M88" s="376"/>
      <c r="N88" s="376"/>
      <c r="O88" s="374"/>
      <c r="P88" s="374"/>
      <c r="Q88" s="374"/>
      <c r="R88" s="374"/>
    </row>
    <row r="89" spans="1:18" x14ac:dyDescent="0.25">
      <c r="A89" s="374"/>
      <c r="B89" s="374"/>
      <c r="C89" s="377"/>
      <c r="D89" s="375">
        <v>1</v>
      </c>
      <c r="E89" s="378">
        <f ca="1">+E80*$Q89</f>
        <v>0</v>
      </c>
      <c r="F89" s="378">
        <f ca="1">+F80*$Q89</f>
        <v>0</v>
      </c>
      <c r="G89" s="378">
        <f ca="1">+G80*$Q89</f>
        <v>0</v>
      </c>
      <c r="H89" s="378">
        <f t="shared" ref="H89:N89" ca="1" si="11">+H80*$Q89</f>
        <v>0</v>
      </c>
      <c r="I89" s="378">
        <f t="shared" ca="1" si="11"/>
        <v>0</v>
      </c>
      <c r="J89" s="378">
        <f t="shared" ca="1" si="11"/>
        <v>0</v>
      </c>
      <c r="K89" s="378">
        <f t="shared" ca="1" si="11"/>
        <v>0</v>
      </c>
      <c r="L89" s="378">
        <f t="shared" ca="1" si="11"/>
        <v>0</v>
      </c>
      <c r="M89" s="378">
        <f t="shared" ca="1" si="11"/>
        <v>0</v>
      </c>
      <c r="N89" s="378">
        <f t="shared" ca="1" si="11"/>
        <v>0</v>
      </c>
      <c r="O89" s="374"/>
      <c r="P89" s="374">
        <f t="shared" ref="P89:Q93" si="12">+P80</f>
        <v>30</v>
      </c>
      <c r="Q89" s="374">
        <f t="shared" si="12"/>
        <v>1</v>
      </c>
      <c r="R89" s="374"/>
    </row>
    <row r="90" spans="1:18" x14ac:dyDescent="0.25">
      <c r="A90" s="374"/>
      <c r="B90" s="374"/>
      <c r="C90" s="377"/>
      <c r="D90" s="375">
        <v>2</v>
      </c>
      <c r="E90" s="378">
        <f t="shared" ref="E90:F94" si="13">+E81*$Q90</f>
        <v>0</v>
      </c>
      <c r="F90" s="378">
        <f t="shared" ca="1" si="13"/>
        <v>0</v>
      </c>
      <c r="G90" s="378">
        <f t="shared" ref="G90:N94" ca="1" si="14">+G81*$Q90</f>
        <v>0</v>
      </c>
      <c r="H90" s="378">
        <f t="shared" ca="1" si="14"/>
        <v>0</v>
      </c>
      <c r="I90" s="378">
        <f t="shared" ca="1" si="14"/>
        <v>0</v>
      </c>
      <c r="J90" s="378">
        <f t="shared" ca="1" si="14"/>
        <v>0</v>
      </c>
      <c r="K90" s="378">
        <f t="shared" ca="1" si="14"/>
        <v>0</v>
      </c>
      <c r="L90" s="378">
        <f t="shared" ca="1" si="14"/>
        <v>0</v>
      </c>
      <c r="M90" s="378">
        <f t="shared" ca="1" si="14"/>
        <v>0</v>
      </c>
      <c r="N90" s="378">
        <f t="shared" ca="1" si="14"/>
        <v>0</v>
      </c>
      <c r="O90" s="374"/>
      <c r="P90" s="374">
        <f t="shared" si="12"/>
        <v>33</v>
      </c>
      <c r="Q90" s="374">
        <f t="shared" si="12"/>
        <v>1</v>
      </c>
      <c r="R90" s="374"/>
    </row>
    <row r="91" spans="1:18" x14ac:dyDescent="0.25">
      <c r="A91" s="374"/>
      <c r="B91" s="374"/>
      <c r="C91" s="377"/>
      <c r="D91" s="375">
        <v>3</v>
      </c>
      <c r="E91" s="378">
        <f t="shared" si="13"/>
        <v>0</v>
      </c>
      <c r="F91" s="378">
        <f t="shared" si="13"/>
        <v>0</v>
      </c>
      <c r="G91" s="378">
        <f t="shared" ca="1" si="14"/>
        <v>0</v>
      </c>
      <c r="H91" s="378">
        <f t="shared" ca="1" si="14"/>
        <v>0</v>
      </c>
      <c r="I91" s="378">
        <f t="shared" ca="1" si="14"/>
        <v>0</v>
      </c>
      <c r="J91" s="378">
        <f t="shared" ca="1" si="14"/>
        <v>0</v>
      </c>
      <c r="K91" s="378">
        <f t="shared" ca="1" si="14"/>
        <v>0</v>
      </c>
      <c r="L91" s="378">
        <f t="shared" ca="1" si="14"/>
        <v>0</v>
      </c>
      <c r="M91" s="378">
        <f t="shared" ca="1" si="14"/>
        <v>0</v>
      </c>
      <c r="N91" s="378">
        <f t="shared" ca="1" si="14"/>
        <v>0</v>
      </c>
      <c r="O91" s="374"/>
      <c r="P91" s="374">
        <f t="shared" si="12"/>
        <v>30</v>
      </c>
      <c r="Q91" s="374">
        <f t="shared" si="12"/>
        <v>1</v>
      </c>
      <c r="R91" s="374"/>
    </row>
    <row r="92" spans="1:18" x14ac:dyDescent="0.25">
      <c r="A92" s="374"/>
      <c r="B92" s="374"/>
      <c r="C92" s="377"/>
      <c r="D92" s="375">
        <v>4</v>
      </c>
      <c r="E92" s="378">
        <f t="shared" si="13"/>
        <v>0</v>
      </c>
      <c r="F92" s="378">
        <f t="shared" si="13"/>
        <v>0</v>
      </c>
      <c r="G92" s="378">
        <f t="shared" si="14"/>
        <v>0</v>
      </c>
      <c r="H92" s="378">
        <f t="shared" ca="1" si="14"/>
        <v>0</v>
      </c>
      <c r="I92" s="378">
        <f t="shared" ca="1" si="14"/>
        <v>0</v>
      </c>
      <c r="J92" s="378">
        <f t="shared" ca="1" si="14"/>
        <v>0</v>
      </c>
      <c r="K92" s="378">
        <f t="shared" ca="1" si="14"/>
        <v>0</v>
      </c>
      <c r="L92" s="378">
        <f t="shared" ca="1" si="14"/>
        <v>0</v>
      </c>
      <c r="M92" s="378">
        <f t="shared" ca="1" si="14"/>
        <v>0</v>
      </c>
      <c r="N92" s="378">
        <f t="shared" ca="1" si="14"/>
        <v>0</v>
      </c>
      <c r="O92" s="374"/>
      <c r="P92" s="374">
        <f t="shared" si="12"/>
        <v>30</v>
      </c>
      <c r="Q92" s="374">
        <f t="shared" si="12"/>
        <v>1</v>
      </c>
      <c r="R92" s="374"/>
    </row>
    <row r="93" spans="1:18" x14ac:dyDescent="0.25">
      <c r="A93" s="374"/>
      <c r="B93" s="374"/>
      <c r="C93" s="377"/>
      <c r="D93" s="375">
        <v>5</v>
      </c>
      <c r="E93" s="378">
        <f t="shared" si="13"/>
        <v>0</v>
      </c>
      <c r="F93" s="378">
        <f t="shared" si="13"/>
        <v>0</v>
      </c>
      <c r="G93" s="378">
        <f t="shared" si="14"/>
        <v>0</v>
      </c>
      <c r="H93" s="378">
        <f t="shared" si="14"/>
        <v>0</v>
      </c>
      <c r="I93" s="378">
        <f t="shared" ca="1" si="14"/>
        <v>0</v>
      </c>
      <c r="J93" s="378">
        <f t="shared" ca="1" si="14"/>
        <v>0</v>
      </c>
      <c r="K93" s="378">
        <f t="shared" ca="1" si="14"/>
        <v>0</v>
      </c>
      <c r="L93" s="378">
        <f t="shared" ca="1" si="14"/>
        <v>0</v>
      </c>
      <c r="M93" s="378">
        <f t="shared" ca="1" si="14"/>
        <v>0</v>
      </c>
      <c r="N93" s="378">
        <f t="shared" ca="1" si="14"/>
        <v>0</v>
      </c>
      <c r="O93" s="374"/>
      <c r="P93" s="374">
        <f t="shared" si="12"/>
        <v>0</v>
      </c>
      <c r="Q93" s="374">
        <f t="shared" si="12"/>
        <v>0</v>
      </c>
      <c r="R93" s="374"/>
    </row>
    <row r="94" spans="1:18" x14ac:dyDescent="0.25">
      <c r="A94" s="374"/>
      <c r="B94" s="374"/>
      <c r="C94" s="377"/>
      <c r="D94" s="375">
        <v>6</v>
      </c>
      <c r="E94" s="378">
        <f t="shared" si="13"/>
        <v>0</v>
      </c>
      <c r="F94" s="378">
        <f t="shared" si="13"/>
        <v>0</v>
      </c>
      <c r="G94" s="378">
        <f t="shared" si="14"/>
        <v>0</v>
      </c>
      <c r="H94" s="378">
        <f t="shared" si="14"/>
        <v>0</v>
      </c>
      <c r="I94" s="378">
        <f t="shared" si="14"/>
        <v>0</v>
      </c>
      <c r="J94" s="378">
        <f t="shared" ca="1" si="14"/>
        <v>0</v>
      </c>
      <c r="K94" s="378">
        <f t="shared" ca="1" si="14"/>
        <v>0</v>
      </c>
      <c r="L94" s="378">
        <f t="shared" ca="1" si="14"/>
        <v>0</v>
      </c>
      <c r="M94" s="378">
        <f t="shared" ca="1" si="14"/>
        <v>0</v>
      </c>
      <c r="N94" s="378">
        <f t="shared" ca="1" si="14"/>
        <v>0</v>
      </c>
      <c r="O94" s="374"/>
      <c r="P94" s="374"/>
      <c r="Q94" s="374"/>
      <c r="R94" s="374"/>
    </row>
    <row r="95" spans="1:18" x14ac:dyDescent="0.25">
      <c r="A95" s="374"/>
      <c r="B95" s="374"/>
      <c r="C95" s="377" t="s">
        <v>214</v>
      </c>
      <c r="D95" s="375"/>
      <c r="E95" s="379">
        <f t="shared" ref="E95:N95" ca="1" si="15">SUM(E89:E94)</f>
        <v>0</v>
      </c>
      <c r="F95" s="379">
        <f t="shared" ca="1" si="15"/>
        <v>0</v>
      </c>
      <c r="G95" s="379">
        <f t="shared" ca="1" si="15"/>
        <v>0</v>
      </c>
      <c r="H95" s="379">
        <f t="shared" ca="1" si="15"/>
        <v>0</v>
      </c>
      <c r="I95" s="379">
        <f t="shared" ca="1" si="15"/>
        <v>0</v>
      </c>
      <c r="J95" s="379">
        <f t="shared" ca="1" si="15"/>
        <v>0</v>
      </c>
      <c r="K95" s="379">
        <f t="shared" ca="1" si="15"/>
        <v>0</v>
      </c>
      <c r="L95" s="379">
        <f t="shared" ca="1" si="15"/>
        <v>0</v>
      </c>
      <c r="M95" s="379">
        <f t="shared" ca="1" si="15"/>
        <v>0</v>
      </c>
      <c r="N95" s="379">
        <f t="shared" ca="1" si="15"/>
        <v>0</v>
      </c>
      <c r="O95" s="374"/>
      <c r="P95" s="374"/>
      <c r="Q95" s="374"/>
      <c r="R95" s="374"/>
    </row>
    <row r="96" spans="1:18" x14ac:dyDescent="0.25">
      <c r="A96" s="374"/>
      <c r="B96" s="374"/>
      <c r="C96" s="377"/>
      <c r="D96" s="375"/>
      <c r="E96" s="374"/>
      <c r="F96" s="374"/>
      <c r="G96" s="374"/>
      <c r="H96" s="374"/>
      <c r="I96" s="374"/>
      <c r="J96" s="374"/>
      <c r="K96" s="374"/>
      <c r="L96" s="374"/>
      <c r="M96" s="374"/>
      <c r="N96" s="374"/>
      <c r="O96" s="374"/>
      <c r="P96" s="374"/>
      <c r="Q96" s="374"/>
      <c r="R96" s="374"/>
    </row>
    <row r="97" spans="1:18" x14ac:dyDescent="0.25">
      <c r="A97" s="374"/>
      <c r="B97" s="374"/>
      <c r="C97" s="377" t="s">
        <v>172</v>
      </c>
      <c r="D97" s="375"/>
      <c r="E97" s="380">
        <f ca="1">SUMPRODUCT(E$89:E$94,$P$89:$P$94)</f>
        <v>0</v>
      </c>
      <c r="F97" s="380">
        <f ca="1">SUMPRODUCT(F$89:F$94,$P$89:$P$94)</f>
        <v>0</v>
      </c>
      <c r="G97" s="380">
        <f t="shared" ref="G97:N97" ca="1" si="16">SUMPRODUCT(G$89:G$94,$P$89:$P$94)</f>
        <v>0</v>
      </c>
      <c r="H97" s="380">
        <f t="shared" ca="1" si="16"/>
        <v>0</v>
      </c>
      <c r="I97" s="380">
        <f t="shared" ca="1" si="16"/>
        <v>0</v>
      </c>
      <c r="J97" s="380">
        <f t="shared" ca="1" si="16"/>
        <v>0</v>
      </c>
      <c r="K97" s="380">
        <f t="shared" ca="1" si="16"/>
        <v>0</v>
      </c>
      <c r="L97" s="380">
        <f t="shared" ca="1" si="16"/>
        <v>0</v>
      </c>
      <c r="M97" s="380">
        <f t="shared" ca="1" si="16"/>
        <v>0</v>
      </c>
      <c r="N97" s="380">
        <f t="shared" ca="1" si="16"/>
        <v>0</v>
      </c>
      <c r="O97" s="374"/>
      <c r="P97" s="374"/>
      <c r="Q97" s="374"/>
      <c r="R97" s="374"/>
    </row>
    <row r="98" spans="1:18" x14ac:dyDescent="0.25">
      <c r="D98" s="184"/>
      <c r="E98" s="184"/>
      <c r="F98" s="184"/>
      <c r="G98" s="184"/>
      <c r="H98" s="184"/>
      <c r="I98" s="184"/>
      <c r="J98" s="184"/>
      <c r="K98" s="184"/>
      <c r="L98" s="184"/>
      <c r="M98" s="184"/>
      <c r="N98" s="184"/>
      <c r="O98" s="184"/>
    </row>
    <row r="99" spans="1:18" x14ac:dyDescent="0.25">
      <c r="B99" s="207"/>
      <c r="C99" s="222" t="s">
        <v>168</v>
      </c>
      <c r="E99" s="235">
        <f t="shared" ref="E99:N99" si="17">+E66</f>
        <v>2019</v>
      </c>
      <c r="F99" s="236">
        <f t="shared" si="17"/>
        <v>2020</v>
      </c>
      <c r="G99" s="236">
        <f t="shared" si="17"/>
        <v>2021</v>
      </c>
      <c r="H99" s="236">
        <f t="shared" si="17"/>
        <v>2022</v>
      </c>
      <c r="I99" s="236">
        <f t="shared" si="17"/>
        <v>2023</v>
      </c>
      <c r="J99" s="236">
        <f t="shared" si="17"/>
        <v>2024</v>
      </c>
      <c r="K99" s="236">
        <f t="shared" si="17"/>
        <v>2025</v>
      </c>
      <c r="L99" s="236">
        <f t="shared" si="17"/>
        <v>2026</v>
      </c>
      <c r="M99" s="236">
        <f t="shared" si="17"/>
        <v>2027</v>
      </c>
      <c r="N99" s="237">
        <f t="shared" si="17"/>
        <v>2028</v>
      </c>
    </row>
    <row r="100" spans="1:18" x14ac:dyDescent="0.25">
      <c r="B100" s="207"/>
      <c r="C100" s="222" t="s">
        <v>169</v>
      </c>
      <c r="D100" s="203" t="s">
        <v>170</v>
      </c>
      <c r="E100" s="204">
        <f t="shared" ref="E100:N100" si="18">E67</f>
        <v>1</v>
      </c>
      <c r="F100" s="204">
        <f t="shared" si="18"/>
        <v>2</v>
      </c>
      <c r="G100" s="204">
        <f t="shared" si="18"/>
        <v>3</v>
      </c>
      <c r="H100" s="204">
        <f t="shared" si="18"/>
        <v>4</v>
      </c>
      <c r="I100" s="204">
        <f t="shared" si="18"/>
        <v>5</v>
      </c>
      <c r="J100" s="204">
        <f t="shared" si="18"/>
        <v>6</v>
      </c>
      <c r="K100" s="204">
        <f t="shared" si="18"/>
        <v>7</v>
      </c>
      <c r="L100" s="204">
        <f t="shared" si="18"/>
        <v>8</v>
      </c>
      <c r="M100" s="204">
        <f t="shared" si="18"/>
        <v>9</v>
      </c>
      <c r="N100" s="204">
        <f t="shared" si="18"/>
        <v>10</v>
      </c>
    </row>
    <row r="101" spans="1:18" x14ac:dyDescent="0.25">
      <c r="B101" s="207">
        <v>2</v>
      </c>
      <c r="C101" s="222" t="str">
        <f t="shared" ref="C101:C110" si="19">VLOOKUP(B101,Cohort,2,FALSE)</f>
        <v>Part Time</v>
      </c>
      <c r="D101" s="203">
        <v>1</v>
      </c>
      <c r="E101" s="190">
        <f ca="1">ROUND(IF($D101&gt;E$100,0,IF(E$100=$D101,OFFSET(INPUT!$E$31,0,E$100-1,1,1),IF($D101+INPUT!$G$23&gt;=E$100,0,D101*INPUT!$E$23))),2)</f>
        <v>0</v>
      </c>
      <c r="F101" s="190">
        <f ca="1">ROUND(IF($D101&gt;F$67,0,IF(F$67=$D101,OFFSET(INPUT!$E$31,0,F$67-1,1,1),IF($D101+INPUT!$G$23=F$67,0,E101*INPUT!$E$23))),2)</f>
        <v>0</v>
      </c>
      <c r="G101" s="190">
        <f ca="1">ROUND(IF($D101&gt;G$67,0,IF(G$67=$D101,OFFSET(INPUT!$E$31,0,G$67-1,1,1),IF($D101+INPUT!$G$23=G$67,0,F101*INPUT!$E$23))),2)</f>
        <v>0</v>
      </c>
      <c r="H101" s="190">
        <f ca="1">ROUND(IF($D101&gt;H$67,0,IF(H$67=$D101,OFFSET(INPUT!$E$31,0,H$67-1,1,1),IF($D101+INPUT!$G$23=H$67,0,G101*INPUT!$E$23))),2)</f>
        <v>0</v>
      </c>
      <c r="I101" s="190">
        <f ca="1">ROUND(IF($D101&gt;I$67,0,IF(I$67=$D101,OFFSET(INPUT!$E$31,0,I$67-1,1,1),IF($D101+INPUT!$G$23=I$67,0,H101*INPUT!$E$23))),2)</f>
        <v>0</v>
      </c>
      <c r="J101" s="190">
        <f ca="1">ROUND(IF($D101&gt;J$67,0,IF(J$67=$D101,OFFSET(INPUT!$E$31,0,J$67-1,1,1),IF($D101+INPUT!$G$23=J$67,0,I101*INPUT!$E$23))),2)</f>
        <v>0</v>
      </c>
      <c r="K101" s="190">
        <f ca="1">ROUND(IF($D101&gt;K$67,0,IF(K$67=$D101,OFFSET(INPUT!$E$31,0,K$67-1,1,1),IF($D101+INPUT!$G$23=K$67,0,J101*INPUT!$E$23))),2)</f>
        <v>0</v>
      </c>
      <c r="L101" s="190">
        <f ca="1">ROUND(IF($D101&gt;L$67,0,IF(L$67=$D101,OFFSET(INPUT!$E$31,0,L$67-1,1,1),IF($D101+INPUT!$G$23=L$67,0,K101*INPUT!$E$23))),2)</f>
        <v>0</v>
      </c>
      <c r="M101" s="190">
        <f ca="1">ROUND(IF($D101&gt;M$67,0,IF(M$67=$D101,OFFSET(INPUT!$E$31,0,M$67-1,1,1),IF($D101+INPUT!$G$23=M$67,0,L101*INPUT!$E$23))),2)</f>
        <v>0</v>
      </c>
      <c r="N101" s="190">
        <f ca="1">ROUND(IF($D101&gt;N$67,0,IF(N$67=$D101,OFFSET(INPUT!$E$31,0,N$67-1,1,1),IF($D101+INPUT!$G$23=N$67,0,M101*INPUT!$E$23))),2)</f>
        <v>0</v>
      </c>
    </row>
    <row r="102" spans="1:18" x14ac:dyDescent="0.25">
      <c r="B102" s="207">
        <v>2</v>
      </c>
      <c r="C102" s="222" t="str">
        <f t="shared" si="19"/>
        <v>Part Time</v>
      </c>
      <c r="D102" s="203">
        <v>2</v>
      </c>
      <c r="E102" s="190">
        <f ca="1">ROUND(IF($D102&gt;E$67,0,IF(E$67=$D102,OFFSET(INPUT!$E$31,0,E$67-1,1,1),IF($D102+INPUT!$G$23&gt;=E$67,0,D102*INPUT!$E$23))),2)</f>
        <v>0</v>
      </c>
      <c r="F102" s="190">
        <f ca="1">ROUND(IF($D102&gt;F$67,0,IF(F$67=$D102,OFFSET(INPUT!$E$31,0,F$67-1,1,1),IF($D102+INPUT!$G$23=F$67,0,E102*INPUT!$E$23))),2)</f>
        <v>0</v>
      </c>
      <c r="G102" s="190">
        <f ca="1">ROUND(IF($D102&gt;G$67,0,IF(G$67=$D102,OFFSET(INPUT!$E$31,0,G$67-1,1,1),IF($D102+INPUT!$G$23=G$67,0,F102*INPUT!$E$23))),2)</f>
        <v>0</v>
      </c>
      <c r="H102" s="190">
        <f ca="1">ROUND(IF($D102&gt;H$67,0,IF(H$67=$D102,OFFSET(INPUT!$E$31,0,H$67-1,1,1),IF($D102+INPUT!$G$23=H$67,0,G102*INPUT!$E$23))),2)</f>
        <v>0</v>
      </c>
      <c r="I102" s="190">
        <f ca="1">ROUND(IF($D102&gt;I$67,0,IF(I$67=$D102,OFFSET(INPUT!$E$31,0,I$67-1,1,1),IF($D102+INPUT!$G$23=I$67,0,H102*INPUT!$E$23))),2)</f>
        <v>0</v>
      </c>
      <c r="J102" s="190">
        <f ca="1">ROUND(IF($D102&gt;J$67,0,IF(J$67=$D102,OFFSET(INPUT!$E$31,0,J$67-1,1,1),IF($D102+INPUT!$G$23=J$67,0,I102*INPUT!$E$23))),2)</f>
        <v>0</v>
      </c>
      <c r="K102" s="190">
        <f ca="1">ROUND(IF($D102&gt;K$67,0,IF(K$67=$D102,OFFSET(INPUT!$E$31,0,K$67-1,1,1),IF($D102+INPUT!$G$23=K$67,0,J102*INPUT!$E$23))),2)</f>
        <v>0</v>
      </c>
      <c r="L102" s="190">
        <f ca="1">ROUND(IF($D102&gt;L$67,0,IF(L$67=$D102,OFFSET(INPUT!$E$31,0,L$67-1,1,1),IF($D102+INPUT!$G$23=L$67,0,K102*INPUT!$E$23))),2)</f>
        <v>0</v>
      </c>
      <c r="M102" s="190">
        <f ca="1">ROUND(IF($D102&gt;M$67,0,IF(M$67=$D102,OFFSET(INPUT!$E$31,0,M$67-1,1,1),IF($D102+INPUT!$G$23=M$67,0,L102*INPUT!$E$23))),2)</f>
        <v>0</v>
      </c>
      <c r="N102" s="190">
        <f ca="1">ROUND(IF($D102&gt;N$67,0,IF(N$67=$D102,OFFSET(INPUT!$E$31,0,N$67-1,1,1),IF($D102+INPUT!$G$23=N$67,0,M102*INPUT!$E$23))),2)</f>
        <v>0</v>
      </c>
    </row>
    <row r="103" spans="1:18" x14ac:dyDescent="0.25">
      <c r="B103" s="207">
        <v>2</v>
      </c>
      <c r="C103" s="222" t="str">
        <f t="shared" si="19"/>
        <v>Part Time</v>
      </c>
      <c r="D103" s="203">
        <v>3</v>
      </c>
      <c r="E103" s="190">
        <f ca="1">ROUND(IF($D103&gt;E$67,0,IF(E$67=$D103,OFFSET(INPUT!$E$31,0,E$67-1,1,1),IF($D103+INPUT!$G$23&gt;=E$67,0,D103*INPUT!$E$23))),2)</f>
        <v>0</v>
      </c>
      <c r="F103" s="190">
        <f ca="1">ROUND(IF($D103&gt;F$67,0,IF(F$67=$D103,OFFSET(INPUT!$E$31,0,F$67-1,1,1),IF($D103+INPUT!$G$23=F$67,0,E103*INPUT!$E$23))),2)</f>
        <v>0</v>
      </c>
      <c r="G103" s="190">
        <f ca="1">ROUND(IF($D103&gt;G$67,0,IF(G$67=$D103,OFFSET(INPUT!$E$31,0,G$67-1,1,1),IF($D103+INPUT!$G$23=G$67,0,F103*INPUT!$E$23))),2)</f>
        <v>0</v>
      </c>
      <c r="H103" s="190">
        <f ca="1">ROUND(IF($D103&gt;H$67,0,IF(H$67=$D103,OFFSET(INPUT!$E$31,0,H$67-1,1,1),IF($D103+INPUT!$G$23=H$67,0,G103*INPUT!$E$23))),2)</f>
        <v>0</v>
      </c>
      <c r="I103" s="190">
        <f ca="1">ROUND(IF($D103&gt;I$67,0,IF(I$67=$D103,OFFSET(INPUT!$E$31,0,I$67-1,1,1),IF($D103+INPUT!$G$23=I$67,0,H103*INPUT!$E$23))),2)</f>
        <v>0</v>
      </c>
      <c r="J103" s="190">
        <f ca="1">ROUND(IF($D103&gt;J$67,0,IF(J$67=$D103,OFFSET(INPUT!$E$31,0,J$67-1,1,1),IF($D103+INPUT!$G$23=J$67,0,I103*INPUT!$E$23))),2)</f>
        <v>0</v>
      </c>
      <c r="K103" s="190">
        <f ca="1">ROUND(IF($D103&gt;K$67,0,IF(K$67=$D103,OFFSET(INPUT!$E$31,0,K$67-1,1,1),IF($D103+INPUT!$G$23=K$67,0,J103*INPUT!$E$23))),2)</f>
        <v>0</v>
      </c>
      <c r="L103" s="190">
        <f ca="1">ROUND(IF($D103&gt;L$67,0,IF(L$67=$D103,OFFSET(INPUT!$E$31,0,L$67-1,1,1),IF($D103+INPUT!$G$23=L$67,0,K103*INPUT!$E$23))),2)</f>
        <v>0</v>
      </c>
      <c r="M103" s="190">
        <f ca="1">ROUND(IF($D103&gt;M$67,0,IF(M$67=$D103,OFFSET(INPUT!$E$31,0,M$67-1,1,1),IF($D103+INPUT!$G$23=M$67,0,L103*INPUT!$E$23))),2)</f>
        <v>0</v>
      </c>
      <c r="N103" s="190">
        <f ca="1">ROUND(IF($D103&gt;N$67,0,IF(N$67=$D103,OFFSET(INPUT!$E$31,0,N$67-1,1,1),IF($D103+INPUT!$G$23=N$67,0,M103*INPUT!$E$23))),2)</f>
        <v>0</v>
      </c>
    </row>
    <row r="104" spans="1:18" x14ac:dyDescent="0.25">
      <c r="B104" s="207">
        <v>2</v>
      </c>
      <c r="C104" s="222" t="str">
        <f t="shared" si="19"/>
        <v>Part Time</v>
      </c>
      <c r="D104" s="203">
        <v>4</v>
      </c>
      <c r="E104" s="190">
        <f ca="1">ROUND(IF($D104&gt;E$67,0,IF(E$67=$D104,OFFSET(INPUT!$E$31,0,E$67-1,1,1),IF($D104+INPUT!$G$23&gt;=E$67,0,D104*INPUT!$E$23))),2)</f>
        <v>0</v>
      </c>
      <c r="F104" s="190">
        <f ca="1">ROUND(IF($D104&gt;F$67,0,IF(F$67=$D104,OFFSET(INPUT!$E$31,0,F$67-1,1,1),IF($D104+INPUT!$G$23=F$67,0,E104*INPUT!$E$23))),2)</f>
        <v>0</v>
      </c>
      <c r="G104" s="190">
        <f ca="1">ROUND(IF($D104&gt;G$67,0,IF(G$67=$D104,OFFSET(INPUT!$E$31,0,G$67-1,1,1),IF($D104+INPUT!$G$23=G$67,0,F104*INPUT!$E$23))),2)</f>
        <v>0</v>
      </c>
      <c r="H104" s="190">
        <f ca="1">ROUND(IF($D104&gt;H$67,0,IF(H$67=$D104,OFFSET(INPUT!$E$31,0,H$67-1,1,1),IF($D104+INPUT!$G$23=H$67,0,G104*INPUT!$E$23))),2)</f>
        <v>0</v>
      </c>
      <c r="I104" s="190">
        <f ca="1">ROUND(IF($D104&gt;I$67,0,IF(I$67=$D104,OFFSET(INPUT!$E$31,0,I$67-1,1,1),IF($D104+INPUT!$G$23=I$67,0,H104*INPUT!$E$23))),2)</f>
        <v>0</v>
      </c>
      <c r="J104" s="190">
        <f ca="1">ROUND(IF($D104&gt;J$67,0,IF(J$67=$D104,OFFSET(INPUT!$E$31,0,J$67-1,1,1),IF($D104+INPUT!$G$23=J$67,0,I104*INPUT!$E$23))),2)</f>
        <v>0</v>
      </c>
      <c r="K104" s="190">
        <f ca="1">ROUND(IF($D104&gt;K$67,0,IF(K$67=$D104,OFFSET(INPUT!$E$31,0,K$67-1,1,1),IF($D104+INPUT!$G$23=K$67,0,J104*INPUT!$E$23))),2)</f>
        <v>0</v>
      </c>
      <c r="L104" s="190">
        <f ca="1">ROUND(IF($D104&gt;L$67,0,IF(L$67=$D104,OFFSET(INPUT!$E$31,0,L$67-1,1,1),IF($D104+INPUT!$G$23=L$67,0,K104*INPUT!$E$23))),2)</f>
        <v>0</v>
      </c>
      <c r="M104" s="190">
        <f ca="1">ROUND(IF($D104&gt;M$67,0,IF(M$67=$D104,OFFSET(INPUT!$E$31,0,M$67-1,1,1),IF($D104+INPUT!$G$23=M$67,0,L104*INPUT!$E$23))),2)</f>
        <v>0</v>
      </c>
      <c r="N104" s="190">
        <f ca="1">ROUND(IF($D104&gt;N$67,0,IF(N$67=$D104,OFFSET(INPUT!$E$31,0,N$67-1,1,1),IF($D104+INPUT!$G$23=N$67,0,M104*INPUT!$E$23))),2)</f>
        <v>0</v>
      </c>
    </row>
    <row r="105" spans="1:18" x14ac:dyDescent="0.25">
      <c r="B105" s="207">
        <v>2</v>
      </c>
      <c r="C105" s="222" t="str">
        <f t="shared" si="19"/>
        <v>Part Time</v>
      </c>
      <c r="D105" s="203">
        <v>5</v>
      </c>
      <c r="E105" s="190">
        <f ca="1">ROUND(IF($D105&gt;E$67,0,IF(E$67=$D105,OFFSET(INPUT!$E$31,0,E$67-1,1,1),IF($D105+INPUT!$G$23&gt;=E$67,0,D105*INPUT!$E$23))),2)</f>
        <v>0</v>
      </c>
      <c r="F105" s="190">
        <f ca="1">ROUND(IF($D105&gt;F$67,0,IF(F$67=$D105,OFFSET(INPUT!$E$31,0,F$67-1,1,1),IF($D105+INPUT!$G$23=F$67,0,E105*INPUT!$E$23))),2)</f>
        <v>0</v>
      </c>
      <c r="G105" s="190">
        <f ca="1">ROUND(IF($D105&gt;G$67,0,IF(G$67=$D105,OFFSET(INPUT!$E$31,0,G$67-1,1,1),IF($D105+INPUT!$G$23=G$67,0,F105*INPUT!$E$23))),2)</f>
        <v>0</v>
      </c>
      <c r="H105" s="190">
        <f ca="1">ROUND(IF($D105&gt;H$67,0,IF(H$67=$D105,OFFSET(INPUT!$E$31,0,H$67-1,1,1),IF($D105+INPUT!$G$23=H$67,0,G105*INPUT!$E$23))),2)</f>
        <v>0</v>
      </c>
      <c r="I105" s="190">
        <f ca="1">ROUND(IF($D105&gt;I$67,0,IF(I$67=$D105,OFFSET(INPUT!$E$31,0,I$67-1,1,1),IF($D105+INPUT!$G$23=I$67,0,H105*INPUT!$E$23))),2)</f>
        <v>0</v>
      </c>
      <c r="J105" s="190">
        <f ca="1">ROUND(IF($D105&gt;J$67,0,IF(J$67=$D105,OFFSET(INPUT!$E$31,0,J$67-1,1,1),IF($D105+INPUT!$G$23=J$67,0,I105*INPUT!$E$23))),2)</f>
        <v>0</v>
      </c>
      <c r="K105" s="190">
        <f ca="1">ROUND(IF($D105&gt;K$67,0,IF(K$67=$D105,OFFSET(INPUT!$E$31,0,K$67-1,1,1),IF($D105+INPUT!$G$23=K$67,0,J105*INPUT!$E$23))),2)</f>
        <v>0</v>
      </c>
      <c r="L105" s="190">
        <f ca="1">ROUND(IF($D105&gt;L$67,0,IF(L$67=$D105,OFFSET(INPUT!$E$31,0,L$67-1,1,1),IF($D105+INPUT!$G$23=L$67,0,K105*INPUT!$E$23))),2)</f>
        <v>0</v>
      </c>
      <c r="M105" s="190">
        <f ca="1">ROUND(IF($D105&gt;M$67,0,IF(M$67=$D105,OFFSET(INPUT!$E$31,0,M$67-1,1,1),IF($D105+INPUT!$G$23=M$67,0,L105*INPUT!$E$23))),2)</f>
        <v>0</v>
      </c>
      <c r="N105" s="190">
        <f ca="1">ROUND(IF($D105&gt;N$67,0,IF(N$67=$D105,OFFSET(INPUT!$E$31,0,N$67-1,1,1),IF($D105+INPUT!$G$23=N$67,0,M105*INPUT!$E$23))),2)</f>
        <v>0</v>
      </c>
    </row>
    <row r="106" spans="1:18" x14ac:dyDescent="0.25">
      <c r="B106" s="207">
        <v>2</v>
      </c>
      <c r="C106" s="222" t="str">
        <f t="shared" si="19"/>
        <v>Part Time</v>
      </c>
      <c r="D106" s="203">
        <v>6</v>
      </c>
      <c r="E106" s="190">
        <f ca="1">ROUND(IF($D106&gt;E$67,0,IF(E$67=$D106,OFFSET(INPUT!$E$31,0,E$67-1,1,1),IF($D106+INPUT!$G$23&gt;=E$67,0,D106*INPUT!$E$23))),2)</f>
        <v>0</v>
      </c>
      <c r="F106" s="190">
        <f ca="1">ROUND(IF($D106&gt;F$67,0,IF(F$67=$D106,OFFSET(INPUT!$E$31,0,F$67-1,1,1),IF($D106+INPUT!$G$23=F$67,0,E106*INPUT!$E$23))),2)</f>
        <v>0</v>
      </c>
      <c r="G106" s="190">
        <f ca="1">ROUND(IF($D106&gt;G$67,0,IF(G$67=$D106,OFFSET(INPUT!$E$31,0,G$67-1,1,1),IF($D106+INPUT!$G$23=G$67,0,F106*INPUT!$E$23))),2)</f>
        <v>0</v>
      </c>
      <c r="H106" s="190">
        <f ca="1">ROUND(IF($D106&gt;H$67,0,IF(H$67=$D106,OFFSET(INPUT!$E$31,0,H$67-1,1,1),IF($D106+INPUT!$G$23=H$67,0,G106*INPUT!$E$23))),2)</f>
        <v>0</v>
      </c>
      <c r="I106" s="190">
        <f ca="1">ROUND(IF($D106&gt;I$67,0,IF(I$67=$D106,OFFSET(INPUT!$E$31,0,I$67-1,1,1),IF($D106+INPUT!$G$23=I$67,0,H106*INPUT!$E$23))),2)</f>
        <v>0</v>
      </c>
      <c r="J106" s="190">
        <f ca="1">ROUND(IF($D106&gt;J$67,0,IF(J$67=$D106,OFFSET(INPUT!$E$31,0,J$67-1,1,1),IF($D106+INPUT!$G$23=J$67,0,I106*INPUT!$E$23))),2)</f>
        <v>0</v>
      </c>
      <c r="K106" s="190">
        <f ca="1">ROUND(IF($D106&gt;K$67,0,IF(K$67=$D106,OFFSET(INPUT!$E$31,0,K$67-1,1,1),IF($D106+INPUT!$G$23=K$67,0,J106*INPUT!$E$23))),2)</f>
        <v>0</v>
      </c>
      <c r="L106" s="190">
        <f ca="1">ROUND(IF($D106&gt;L$67,0,IF(L$67=$D106,OFFSET(INPUT!$E$31,0,L$67-1,1,1),IF($D106+INPUT!$G$23=L$67,0,K106*INPUT!$E$23))),2)</f>
        <v>0</v>
      </c>
      <c r="M106" s="190">
        <f ca="1">ROUND(IF($D106&gt;M$67,0,IF(M$67=$D106,OFFSET(INPUT!$E$31,0,M$67-1,1,1),IF($D106+INPUT!$G$23=M$67,0,L106*INPUT!$E$23))),2)</f>
        <v>0</v>
      </c>
      <c r="N106" s="190">
        <f ca="1">ROUND(IF($D106&gt;N$67,0,IF(N$67=$D106,OFFSET(INPUT!$E$31,0,N$67-1,1,1),IF($D106+INPUT!$G$23=N$67,0,M106*INPUT!$E$23))),2)</f>
        <v>0</v>
      </c>
    </row>
    <row r="107" spans="1:18" x14ac:dyDescent="0.25">
      <c r="B107" s="207">
        <v>2</v>
      </c>
      <c r="C107" s="222" t="str">
        <f t="shared" si="19"/>
        <v>Part Time</v>
      </c>
      <c r="D107" s="203">
        <v>7</v>
      </c>
      <c r="E107" s="190">
        <f ca="1">ROUND(IF($D107&gt;E$67,0,IF(E$67=$D107,OFFSET(INPUT!$E$31,0,E$67-1,1,1),IF($D107+INPUT!$G$23&gt;=E$67,0,D107*INPUT!$E$23))),2)</f>
        <v>0</v>
      </c>
      <c r="F107" s="190">
        <f ca="1">ROUND(IF($D107&gt;F$67,0,IF(F$67=$D107,OFFSET(INPUT!$E$31,0,F$67-1,1,1),IF($D107+INPUT!$G$23=F$67,0,E107*INPUT!$E$23))),2)</f>
        <v>0</v>
      </c>
      <c r="G107" s="190">
        <f ca="1">ROUND(IF($D107&gt;G$67,0,IF(G$67=$D107,OFFSET(INPUT!$E$31,0,G$67-1,1,1),IF($D107+INPUT!$G$23=G$67,0,F107*INPUT!$E$23))),2)</f>
        <v>0</v>
      </c>
      <c r="H107" s="190">
        <f ca="1">ROUND(IF($D107&gt;H$67,0,IF(H$67=$D107,OFFSET(INPUT!$E$31,0,H$67-1,1,1),IF($D107+INPUT!$G$23=H$67,0,G107*INPUT!$E$23))),2)</f>
        <v>0</v>
      </c>
      <c r="I107" s="190">
        <f ca="1">ROUND(IF($D107&gt;I$67,0,IF(I$67=$D107,OFFSET(INPUT!$E$31,0,I$67-1,1,1),IF($D107+INPUT!$G$23=I$67,0,H107*INPUT!$E$23))),2)</f>
        <v>0</v>
      </c>
      <c r="J107" s="190">
        <f ca="1">ROUND(IF($D107&gt;J$67,0,IF(J$67=$D107,OFFSET(INPUT!$E$31,0,J$67-1,1,1),IF($D107+INPUT!$G$23=J$67,0,I107*INPUT!$E$23))),2)</f>
        <v>0</v>
      </c>
      <c r="K107" s="190">
        <f ca="1">ROUND(IF($D107&gt;K$67,0,IF(K$67=$D107,OFFSET(INPUT!$E$31,0,K$67-1,1,1),IF($D107+INPUT!$G$23=K$67,0,J107*INPUT!$E$23))),2)</f>
        <v>0</v>
      </c>
      <c r="L107" s="190">
        <f ca="1">ROUND(IF($D107&gt;L$67,0,IF(L$67=$D107,OFFSET(INPUT!$E$31,0,L$67-1,1,1),IF($D107+INPUT!$G$23=L$67,0,K107*INPUT!$E$23))),2)</f>
        <v>0</v>
      </c>
      <c r="M107" s="190">
        <f ca="1">ROUND(IF($D107&gt;M$67,0,IF(M$67=$D107,OFFSET(INPUT!$E$31,0,M$67-1,1,1),IF($D107+INPUT!$G$23=M$67,0,L107*INPUT!$E$23))),2)</f>
        <v>0</v>
      </c>
      <c r="N107" s="190">
        <f ca="1">ROUND(IF($D107&gt;N$67,0,IF(N$67=$D107,OFFSET(INPUT!$E$31,0,N$67-1,1,1),IF($D107+INPUT!$G$23=N$67,0,M107*INPUT!$E$23))),2)</f>
        <v>0</v>
      </c>
    </row>
    <row r="108" spans="1:18" x14ac:dyDescent="0.25">
      <c r="B108" s="207">
        <v>2</v>
      </c>
      <c r="C108" s="222" t="str">
        <f t="shared" si="19"/>
        <v>Part Time</v>
      </c>
      <c r="D108" s="203">
        <v>8</v>
      </c>
      <c r="E108" s="190">
        <f ca="1">ROUND(IF($D108&gt;E$67,0,IF(E$67=$D108,OFFSET(INPUT!$E$31,0,E$67-1,1,1),IF($D108+INPUT!$G$23&gt;=E$67,0,D108*INPUT!$E$23))),2)</f>
        <v>0</v>
      </c>
      <c r="F108" s="190">
        <f ca="1">ROUND(IF($D108&gt;F$67,0,IF(F$67=$D108,OFFSET(INPUT!$E$31,0,F$67-1,1,1),IF($D108+INPUT!$G$23=F$67,0,E108*INPUT!$E$23))),2)</f>
        <v>0</v>
      </c>
      <c r="G108" s="190">
        <f ca="1">ROUND(IF($D108&gt;G$67,0,IF(G$67=$D108,OFFSET(INPUT!$E$31,0,G$67-1,1,1),IF($D108+INPUT!$G$23=G$67,0,F108*INPUT!$E$23))),2)</f>
        <v>0</v>
      </c>
      <c r="H108" s="190">
        <f ca="1">ROUND(IF($D108&gt;H$67,0,IF(H$67=$D108,OFFSET(INPUT!$E$31,0,H$67-1,1,1),IF($D108+INPUT!$G$23=H$67,0,G108*INPUT!$E$23))),2)</f>
        <v>0</v>
      </c>
      <c r="I108" s="190">
        <f ca="1">ROUND(IF($D108&gt;I$67,0,IF(I$67=$D108,OFFSET(INPUT!$E$31,0,I$67-1,1,1),IF($D108+INPUT!$G$23=I$67,0,H108*INPUT!$E$23))),2)</f>
        <v>0</v>
      </c>
      <c r="J108" s="190">
        <f ca="1">ROUND(IF($D108&gt;J$67,0,IF(J$67=$D108,OFFSET(INPUT!$E$31,0,J$67-1,1,1),IF($D108+INPUT!$G$23=J$67,0,I108*INPUT!$E$23))),2)</f>
        <v>0</v>
      </c>
      <c r="K108" s="190">
        <f ca="1">ROUND(IF($D108&gt;K$67,0,IF(K$67=$D108,OFFSET(INPUT!$E$31,0,K$67-1,1,1),IF($D108+INPUT!$G$23=K$67,0,J108*INPUT!$E$23))),2)</f>
        <v>0</v>
      </c>
      <c r="L108" s="190">
        <f ca="1">ROUND(IF($D108&gt;L$67,0,IF(L$67=$D108,OFFSET(INPUT!$E$31,0,L$67-1,1,1),IF($D108+INPUT!$G$23=L$67,0,K108*INPUT!$E$23))),2)</f>
        <v>0</v>
      </c>
      <c r="M108" s="190">
        <f ca="1">ROUND(IF($D108&gt;M$67,0,IF(M$67=$D108,OFFSET(INPUT!$E$31,0,M$67-1,1,1),IF($D108+INPUT!$G$23=M$67,0,L108*INPUT!$E$23))),2)</f>
        <v>0</v>
      </c>
      <c r="N108" s="190">
        <f ca="1">ROUND(IF($D108&gt;N$67,0,IF(N$67=$D108,OFFSET(INPUT!$E$31,0,N$67-1,1,1),IF($D108+INPUT!$G$23=N$67,0,M108*INPUT!$E$23))),2)</f>
        <v>0</v>
      </c>
    </row>
    <row r="109" spans="1:18" x14ac:dyDescent="0.25">
      <c r="B109" s="207">
        <v>2</v>
      </c>
      <c r="C109" s="222" t="str">
        <f t="shared" si="19"/>
        <v>Part Time</v>
      </c>
      <c r="D109" s="203">
        <v>9</v>
      </c>
      <c r="E109" s="190">
        <f ca="1">ROUND(IF($D109&gt;E$67,0,IF(E$67=$D109,OFFSET(INPUT!$E$31,0,E$67-1,1,1),IF($D109+INPUT!$G$23&gt;=E$67,0,D109*INPUT!$E$23))),2)</f>
        <v>0</v>
      </c>
      <c r="F109" s="190">
        <f ca="1">ROUND(IF($D109&gt;F$67,0,IF(F$67=$D109,OFFSET(INPUT!$E$31,0,F$67-1,1,1),IF($D109+INPUT!$G$23=F$67,0,E109*INPUT!$E$23))),2)</f>
        <v>0</v>
      </c>
      <c r="G109" s="190">
        <f ca="1">ROUND(IF($D109&gt;G$67,0,IF(G$67=$D109,OFFSET(INPUT!$E$31,0,G$67-1,1,1),IF($D109+INPUT!$G$23=G$67,0,F109*INPUT!$E$23))),2)</f>
        <v>0</v>
      </c>
      <c r="H109" s="190">
        <f ca="1">ROUND(IF($D109&gt;H$67,0,IF(H$67=$D109,OFFSET(INPUT!$E$31,0,H$67-1,1,1),IF($D109+INPUT!$G$23=H$67,0,G109*INPUT!$E$23))),2)</f>
        <v>0</v>
      </c>
      <c r="I109" s="190">
        <f ca="1">ROUND(IF($D109&gt;I$67,0,IF(I$67=$D109,OFFSET(INPUT!$E$31,0,I$67-1,1,1),IF($D109+INPUT!$G$23=I$67,0,H109*INPUT!$E$23))),2)</f>
        <v>0</v>
      </c>
      <c r="J109" s="190">
        <f ca="1">ROUND(IF($D109&gt;J$67,0,IF(J$67=$D109,OFFSET(INPUT!$E$31,0,J$67-1,1,1),IF($D109+INPUT!$G$23=J$67,0,I109*INPUT!$E$23))),2)</f>
        <v>0</v>
      </c>
      <c r="K109" s="190">
        <f ca="1">ROUND(IF($D109&gt;K$67,0,IF(K$67=$D109,OFFSET(INPUT!$E$31,0,K$67-1,1,1),IF($D109+INPUT!$G$23=K$67,0,J109*INPUT!$E$23))),2)</f>
        <v>0</v>
      </c>
      <c r="L109" s="190">
        <f ca="1">ROUND(IF($D109&gt;L$67,0,IF(L$67=$D109,OFFSET(INPUT!$E$31,0,L$67-1,1,1),IF($D109+INPUT!$G$23=L$67,0,K109*INPUT!$E$23))),2)</f>
        <v>0</v>
      </c>
      <c r="M109" s="190">
        <f ca="1">ROUND(IF($D109&gt;M$67,0,IF(M$67=$D109,OFFSET(INPUT!$E$31,0,M$67-1,1,1),IF($D109+INPUT!$G$23=M$67,0,L109*INPUT!$E$23))),2)</f>
        <v>0</v>
      </c>
      <c r="N109" s="190">
        <f ca="1">ROUND(IF($D109&gt;N$67,0,IF(N$67=$D109,OFFSET(INPUT!$E$31,0,N$67-1,1,1),IF($D109+INPUT!$G$23=N$67,0,M109*INPUT!$E$23))),2)</f>
        <v>0</v>
      </c>
    </row>
    <row r="110" spans="1:18" x14ac:dyDescent="0.25">
      <c r="B110" s="207">
        <v>2</v>
      </c>
      <c r="C110" s="222" t="str">
        <f t="shared" si="19"/>
        <v>Part Time</v>
      </c>
      <c r="D110" s="203">
        <v>10</v>
      </c>
      <c r="E110" s="190">
        <f ca="1">ROUND(IF($D110&gt;E$67,0,IF(E$67=$D110,OFFSET(INPUT!$E$31,0,E$67-1,1,1),IF($D110+INPUT!$G$23&gt;=E$67,0,D110*INPUT!$E$23))),2)</f>
        <v>0</v>
      </c>
      <c r="F110" s="190">
        <f ca="1">ROUND(IF($D110&gt;F$67,0,IF(F$67=$D110,OFFSET(INPUT!$E$31,0,F$67-1,1,1),IF($D110+INPUT!$G$23=F$67,0,E110*INPUT!$E$23))),2)</f>
        <v>0</v>
      </c>
      <c r="G110" s="190">
        <f ca="1">ROUND(IF($D110&gt;G$67,0,IF(G$67=$D110,OFFSET(INPUT!$E$31,0,G$67-1,1,1),IF($D110+INPUT!$G$23=G$67,0,F110*INPUT!$E$23))),2)</f>
        <v>0</v>
      </c>
      <c r="H110" s="190">
        <f ca="1">ROUND(IF($D110&gt;H$67,0,IF(H$67=$D110,OFFSET(INPUT!$E$31,0,H$67-1,1,1),IF($D110+INPUT!$G$23=H$67,0,G110*INPUT!$E$23))),2)</f>
        <v>0</v>
      </c>
      <c r="I110" s="190">
        <f ca="1">ROUND(IF($D110&gt;I$67,0,IF(I$67=$D110,OFFSET(INPUT!$E$31,0,I$67-1,1,1),IF($D110+INPUT!$G$23=I$67,0,H110*INPUT!$E$23))),2)</f>
        <v>0</v>
      </c>
      <c r="J110" s="190">
        <f ca="1">ROUND(IF($D110&gt;J$67,0,IF(J$67=$D110,OFFSET(INPUT!$E$31,0,J$67-1,1,1),IF($D110+INPUT!$G$23=J$67,0,I110*INPUT!$E$23))),2)</f>
        <v>0</v>
      </c>
      <c r="K110" s="190">
        <f ca="1">ROUND(IF($D110&gt;K$67,0,IF(K$67=$D110,OFFSET(INPUT!$E$31,0,K$67-1,1,1),IF($D110+INPUT!$G$23=K$67,0,J110*INPUT!$E$23))),2)</f>
        <v>0</v>
      </c>
      <c r="L110" s="190">
        <f ca="1">ROUND(IF($D110&gt;L$67,0,IF(L$67=$D110,OFFSET(INPUT!$E$31,0,L$67-1,1,1),IF($D110+INPUT!$G$23=L$67,0,K110*INPUT!$E$23))),2)</f>
        <v>0</v>
      </c>
      <c r="M110" s="190">
        <f ca="1">ROUND(IF($D110&gt;M$67,0,IF(M$67=$D110,OFFSET(INPUT!$E$31,0,M$67-1,1,1),IF($D110+INPUT!$G$23=M$67,0,L110*INPUT!$E$23))),2)</f>
        <v>0</v>
      </c>
      <c r="N110" s="190">
        <f ca="1">ROUND(IF($D110&gt;N$67,0,IF(N$67=$D110,OFFSET(INPUT!$E$31,0,N$67-1,1,1),IF($D110+INPUT!$G$23=N$67,0,M110*INPUT!$E$23))),2)</f>
        <v>0</v>
      </c>
    </row>
    <row r="111" spans="1:18" x14ac:dyDescent="0.25">
      <c r="B111" s="207"/>
      <c r="E111" s="205">
        <f t="shared" ref="E111:N111" ca="1" si="20">SUM(E101:E110)</f>
        <v>0</v>
      </c>
      <c r="F111" s="205">
        <f t="shared" ca="1" si="20"/>
        <v>0</v>
      </c>
      <c r="G111" s="205">
        <f t="shared" ca="1" si="20"/>
        <v>0</v>
      </c>
      <c r="H111" s="205">
        <f t="shared" ca="1" si="20"/>
        <v>0</v>
      </c>
      <c r="I111" s="205">
        <f t="shared" ca="1" si="20"/>
        <v>0</v>
      </c>
      <c r="J111" s="205">
        <f t="shared" ca="1" si="20"/>
        <v>0</v>
      </c>
      <c r="K111" s="205">
        <f t="shared" ca="1" si="20"/>
        <v>0</v>
      </c>
      <c r="L111" s="205">
        <f t="shared" ca="1" si="20"/>
        <v>0</v>
      </c>
      <c r="M111" s="205">
        <f t="shared" ca="1" si="20"/>
        <v>0</v>
      </c>
      <c r="N111" s="205">
        <f t="shared" ca="1" si="20"/>
        <v>0</v>
      </c>
    </row>
    <row r="112" spans="1:18" x14ac:dyDescent="0.25">
      <c r="B112" s="207"/>
    </row>
    <row r="113" spans="2:16" x14ac:dyDescent="0.25">
      <c r="B113" s="207"/>
      <c r="C113" s="222" t="s">
        <v>171</v>
      </c>
      <c r="D113" s="203">
        <v>1</v>
      </c>
      <c r="E113" s="190">
        <f t="shared" ref="E113:N122" ca="1" si="21">IF(OR(E$67+1&gt;11,$D113&gt;E$67),0,INDEX(Student2,E$67-$D113+2,E$67+1))</f>
        <v>0</v>
      </c>
      <c r="F113" s="190">
        <f t="shared" ca="1" si="21"/>
        <v>0</v>
      </c>
      <c r="G113" s="190">
        <f t="shared" ca="1" si="21"/>
        <v>0</v>
      </c>
      <c r="H113" s="190">
        <f t="shared" ca="1" si="21"/>
        <v>0</v>
      </c>
      <c r="I113" s="190">
        <f t="shared" ca="1" si="21"/>
        <v>0</v>
      </c>
      <c r="J113" s="190">
        <f t="shared" ca="1" si="21"/>
        <v>0</v>
      </c>
      <c r="K113" s="190">
        <f t="shared" ca="1" si="21"/>
        <v>0</v>
      </c>
      <c r="L113" s="190">
        <f t="shared" ca="1" si="21"/>
        <v>0</v>
      </c>
      <c r="M113" s="190">
        <f t="shared" ca="1" si="21"/>
        <v>0</v>
      </c>
      <c r="N113" s="190">
        <f t="shared" ca="1" si="21"/>
        <v>0</v>
      </c>
      <c r="P113" s="208">
        <f>INPUT!H23*2</f>
        <v>12</v>
      </c>
    </row>
    <row r="114" spans="2:16" x14ac:dyDescent="0.25">
      <c r="B114" s="207"/>
      <c r="D114" s="203">
        <v>2</v>
      </c>
      <c r="E114" s="190">
        <f t="shared" si="21"/>
        <v>0</v>
      </c>
      <c r="F114" s="190">
        <f t="shared" ca="1" si="21"/>
        <v>0</v>
      </c>
      <c r="G114" s="190">
        <f t="shared" ca="1" si="21"/>
        <v>0</v>
      </c>
      <c r="H114" s="190">
        <f t="shared" ca="1" si="21"/>
        <v>0</v>
      </c>
      <c r="I114" s="190">
        <f t="shared" ca="1" si="21"/>
        <v>0</v>
      </c>
      <c r="J114" s="190">
        <f t="shared" ca="1" si="21"/>
        <v>0</v>
      </c>
      <c r="K114" s="190">
        <f t="shared" ca="1" si="21"/>
        <v>0</v>
      </c>
      <c r="L114" s="190">
        <f t="shared" ca="1" si="21"/>
        <v>0</v>
      </c>
      <c r="M114" s="190">
        <f t="shared" ca="1" si="21"/>
        <v>0</v>
      </c>
      <c r="N114" s="190">
        <f t="shared" ca="1" si="21"/>
        <v>0</v>
      </c>
      <c r="P114" s="208">
        <f>IF(SUM(P$113:P113)&gt;=INPUT!$K$19,0,IF(SUM(P$113:P113)+INPUT!$H$23*2&lt;INPUT!$K$19,INPUT!$H$23*2,INPUT!$K$19-SUM(P$113:P113)))</f>
        <v>12</v>
      </c>
    </row>
    <row r="115" spans="2:16" x14ac:dyDescent="0.25">
      <c r="B115" s="207"/>
      <c r="D115" s="203">
        <v>3</v>
      </c>
      <c r="E115" s="190">
        <f t="shared" si="21"/>
        <v>0</v>
      </c>
      <c r="F115" s="190">
        <f t="shared" si="21"/>
        <v>0</v>
      </c>
      <c r="G115" s="190">
        <f t="shared" ca="1" si="21"/>
        <v>0</v>
      </c>
      <c r="H115" s="190">
        <f t="shared" ca="1" si="21"/>
        <v>0</v>
      </c>
      <c r="I115" s="190">
        <f t="shared" ca="1" si="21"/>
        <v>0</v>
      </c>
      <c r="J115" s="190">
        <f t="shared" ca="1" si="21"/>
        <v>0</v>
      </c>
      <c r="K115" s="190">
        <f t="shared" ca="1" si="21"/>
        <v>0</v>
      </c>
      <c r="L115" s="190">
        <f t="shared" ca="1" si="21"/>
        <v>0</v>
      </c>
      <c r="M115" s="190">
        <f t="shared" ca="1" si="21"/>
        <v>0</v>
      </c>
      <c r="N115" s="190">
        <f t="shared" ca="1" si="21"/>
        <v>0</v>
      </c>
      <c r="P115" s="208">
        <f>IF(SUM(P$113:P114)&gt;=INPUT!$K$19,0,IF(SUM(P$113:P114)+INPUT!$H$23*2&lt;INPUT!$K$19,INPUT!$H$23*2,INPUT!$K$19-SUM(P$113:P114)))</f>
        <v>12</v>
      </c>
    </row>
    <row r="116" spans="2:16" x14ac:dyDescent="0.25">
      <c r="B116" s="207"/>
      <c r="D116" s="203">
        <v>4</v>
      </c>
      <c r="E116" s="190">
        <f t="shared" si="21"/>
        <v>0</v>
      </c>
      <c r="F116" s="190">
        <f t="shared" si="21"/>
        <v>0</v>
      </c>
      <c r="G116" s="190">
        <f t="shared" si="21"/>
        <v>0</v>
      </c>
      <c r="H116" s="190">
        <f t="shared" ca="1" si="21"/>
        <v>0</v>
      </c>
      <c r="I116" s="190">
        <f t="shared" ca="1" si="21"/>
        <v>0</v>
      </c>
      <c r="J116" s="190">
        <f t="shared" ca="1" si="21"/>
        <v>0</v>
      </c>
      <c r="K116" s="190">
        <f t="shared" ca="1" si="21"/>
        <v>0</v>
      </c>
      <c r="L116" s="190">
        <f t="shared" ca="1" si="21"/>
        <v>0</v>
      </c>
      <c r="M116" s="190">
        <f t="shared" ca="1" si="21"/>
        <v>0</v>
      </c>
      <c r="N116" s="190">
        <f t="shared" ca="1" si="21"/>
        <v>0</v>
      </c>
      <c r="P116" s="208">
        <f>IF(SUM(P$113:P115)&gt;=INPUT!$K$19,0,IF(SUM(P$113:P115)+INPUT!$H$23*2&lt;INPUT!$K$19,INPUT!$H$23*2,INPUT!$K$19-SUM(P$113:P115)))</f>
        <v>12</v>
      </c>
    </row>
    <row r="117" spans="2:16" x14ac:dyDescent="0.25">
      <c r="B117" s="207"/>
      <c r="D117" s="203">
        <v>5</v>
      </c>
      <c r="E117" s="190">
        <f t="shared" si="21"/>
        <v>0</v>
      </c>
      <c r="F117" s="190">
        <f t="shared" si="21"/>
        <v>0</v>
      </c>
      <c r="G117" s="190">
        <f t="shared" si="21"/>
        <v>0</v>
      </c>
      <c r="H117" s="190">
        <f t="shared" si="21"/>
        <v>0</v>
      </c>
      <c r="I117" s="190">
        <f t="shared" ca="1" si="21"/>
        <v>0</v>
      </c>
      <c r="J117" s="190">
        <f t="shared" ca="1" si="21"/>
        <v>0</v>
      </c>
      <c r="K117" s="190">
        <f t="shared" ca="1" si="21"/>
        <v>0</v>
      </c>
      <c r="L117" s="190">
        <f t="shared" ca="1" si="21"/>
        <v>0</v>
      </c>
      <c r="M117" s="190">
        <f t="shared" ca="1" si="21"/>
        <v>0</v>
      </c>
      <c r="N117" s="190">
        <f t="shared" ca="1" si="21"/>
        <v>0</v>
      </c>
      <c r="P117" s="208">
        <f>IF(SUM(P$113:P116)&gt;=INPUT!$K$19,0,IF(SUM(P$113:P116)+INPUT!$H$23*2&lt;INPUT!$K$19,INPUT!$H$23*2,INPUT!$K$19-SUM(P$113:P116)))</f>
        <v>12</v>
      </c>
    </row>
    <row r="118" spans="2:16" x14ac:dyDescent="0.25">
      <c r="B118" s="207"/>
      <c r="D118" s="203">
        <v>6</v>
      </c>
      <c r="E118" s="190">
        <f t="shared" si="21"/>
        <v>0</v>
      </c>
      <c r="F118" s="190">
        <f t="shared" si="21"/>
        <v>0</v>
      </c>
      <c r="G118" s="190">
        <f t="shared" si="21"/>
        <v>0</v>
      </c>
      <c r="H118" s="190">
        <f t="shared" si="21"/>
        <v>0</v>
      </c>
      <c r="I118" s="190">
        <f t="shared" si="21"/>
        <v>0</v>
      </c>
      <c r="J118" s="190">
        <f t="shared" ca="1" si="21"/>
        <v>0</v>
      </c>
      <c r="K118" s="190">
        <f t="shared" ca="1" si="21"/>
        <v>0</v>
      </c>
      <c r="L118" s="190">
        <f t="shared" ca="1" si="21"/>
        <v>0</v>
      </c>
      <c r="M118" s="190">
        <f t="shared" ca="1" si="21"/>
        <v>0</v>
      </c>
      <c r="N118" s="190">
        <f t="shared" ca="1" si="21"/>
        <v>0</v>
      </c>
      <c r="P118" s="208">
        <f>IF(SUM(P$113:P117)&gt;=INPUT!$K$19,0,IF(SUM(P$113:P117)+INPUT!$H$23*2&lt;INPUT!$K$19,INPUT!$H$23*2,INPUT!$K$19-SUM(P$113:P117)))</f>
        <v>12</v>
      </c>
    </row>
    <row r="119" spans="2:16" x14ac:dyDescent="0.25">
      <c r="B119" s="207"/>
      <c r="D119" s="203">
        <v>7</v>
      </c>
      <c r="E119" s="190">
        <f t="shared" si="21"/>
        <v>0</v>
      </c>
      <c r="F119" s="190">
        <f t="shared" si="21"/>
        <v>0</v>
      </c>
      <c r="G119" s="190">
        <f t="shared" si="21"/>
        <v>0</v>
      </c>
      <c r="H119" s="190">
        <f t="shared" si="21"/>
        <v>0</v>
      </c>
      <c r="I119" s="190">
        <f t="shared" si="21"/>
        <v>0</v>
      </c>
      <c r="J119" s="190">
        <f t="shared" si="21"/>
        <v>0</v>
      </c>
      <c r="K119" s="190">
        <f t="shared" ca="1" si="21"/>
        <v>0</v>
      </c>
      <c r="L119" s="190">
        <f t="shared" ca="1" si="21"/>
        <v>0</v>
      </c>
      <c r="M119" s="190">
        <f t="shared" ca="1" si="21"/>
        <v>0</v>
      </c>
      <c r="N119" s="190">
        <f t="shared" ca="1" si="21"/>
        <v>0</v>
      </c>
      <c r="P119" s="208">
        <f>IF(SUM(P$113:P118)&gt;=INPUT!$K$19,0,IF(SUM(P$113:P118)+INPUT!$H$23*2&lt;INPUT!$K$19,INPUT!$H$23*2,INPUT!$K$19-SUM(P$113:P118)))</f>
        <v>12</v>
      </c>
    </row>
    <row r="120" spans="2:16" x14ac:dyDescent="0.25">
      <c r="B120" s="207"/>
      <c r="D120" s="203">
        <v>8</v>
      </c>
      <c r="E120" s="190">
        <f t="shared" si="21"/>
        <v>0</v>
      </c>
      <c r="F120" s="190">
        <f t="shared" si="21"/>
        <v>0</v>
      </c>
      <c r="G120" s="190">
        <f t="shared" si="21"/>
        <v>0</v>
      </c>
      <c r="H120" s="190">
        <f t="shared" si="21"/>
        <v>0</v>
      </c>
      <c r="I120" s="190">
        <f t="shared" si="21"/>
        <v>0</v>
      </c>
      <c r="J120" s="190">
        <f t="shared" si="21"/>
        <v>0</v>
      </c>
      <c r="K120" s="190">
        <f t="shared" si="21"/>
        <v>0</v>
      </c>
      <c r="L120" s="190">
        <f t="shared" ca="1" si="21"/>
        <v>0</v>
      </c>
      <c r="M120" s="190">
        <f t="shared" ca="1" si="21"/>
        <v>0</v>
      </c>
      <c r="N120" s="190">
        <f t="shared" ca="1" si="21"/>
        <v>0</v>
      </c>
      <c r="P120" s="208">
        <f>IF(SUM(P$113:P119)&gt;=INPUT!$K$19,0,IF(SUM(P$113:P119)+INPUT!$H$23*2&lt;INPUT!$K$19,INPUT!$H$23*2,INPUT!$K$19-SUM(P$113:P119)))</f>
        <v>12</v>
      </c>
    </row>
    <row r="121" spans="2:16" x14ac:dyDescent="0.25">
      <c r="B121" s="207"/>
      <c r="D121" s="203">
        <v>9</v>
      </c>
      <c r="E121" s="190">
        <f t="shared" si="21"/>
        <v>0</v>
      </c>
      <c r="F121" s="190">
        <f t="shared" si="21"/>
        <v>0</v>
      </c>
      <c r="G121" s="190">
        <f t="shared" si="21"/>
        <v>0</v>
      </c>
      <c r="H121" s="190">
        <f t="shared" si="21"/>
        <v>0</v>
      </c>
      <c r="I121" s="190">
        <f t="shared" si="21"/>
        <v>0</v>
      </c>
      <c r="J121" s="190">
        <f t="shared" si="21"/>
        <v>0</v>
      </c>
      <c r="K121" s="190">
        <f t="shared" si="21"/>
        <v>0</v>
      </c>
      <c r="L121" s="190">
        <f t="shared" si="21"/>
        <v>0</v>
      </c>
      <c r="M121" s="190">
        <f t="shared" ca="1" si="21"/>
        <v>0</v>
      </c>
      <c r="N121" s="190">
        <f t="shared" ca="1" si="21"/>
        <v>0</v>
      </c>
      <c r="P121" s="208">
        <f>IF(SUM(P$113:P120)&gt;=INPUT!$K$19,0,IF(SUM(P$113:P120)+INPUT!$H$23*2&lt;INPUT!$K$19,INPUT!$H$23*2,INPUT!$K$19-SUM(P$113:P120)))</f>
        <v>12</v>
      </c>
    </row>
    <row r="122" spans="2:16" x14ac:dyDescent="0.25">
      <c r="B122" s="207"/>
      <c r="D122" s="203">
        <v>10</v>
      </c>
      <c r="E122" s="190">
        <f t="shared" si="21"/>
        <v>0</v>
      </c>
      <c r="F122" s="190">
        <f t="shared" si="21"/>
        <v>0</v>
      </c>
      <c r="G122" s="190">
        <f t="shared" si="21"/>
        <v>0</v>
      </c>
      <c r="H122" s="190">
        <f t="shared" si="21"/>
        <v>0</v>
      </c>
      <c r="I122" s="190">
        <f t="shared" si="21"/>
        <v>0</v>
      </c>
      <c r="J122" s="190">
        <f t="shared" si="21"/>
        <v>0</v>
      </c>
      <c r="K122" s="190">
        <f t="shared" si="21"/>
        <v>0</v>
      </c>
      <c r="L122" s="190">
        <f t="shared" si="21"/>
        <v>0</v>
      </c>
      <c r="M122" s="190">
        <f t="shared" si="21"/>
        <v>0</v>
      </c>
      <c r="N122" s="190">
        <f t="shared" ca="1" si="21"/>
        <v>0</v>
      </c>
      <c r="P122" s="208">
        <f>IF(SUM(P$113:P121)&gt;=INPUT!$K$19,0,IF(SUM(P$113:P121)+INPUT!$H$23*2&lt;INPUT!$K$19,INPUT!$H$23*2,INPUT!$K$19-SUM(P$113:P121)))</f>
        <v>12</v>
      </c>
    </row>
    <row r="123" spans="2:16" x14ac:dyDescent="0.25">
      <c r="B123" s="207"/>
      <c r="D123" s="184"/>
      <c r="E123" s="205">
        <f t="shared" ref="E123:N123" ca="1" si="22">SUM(E113:E122)</f>
        <v>0</v>
      </c>
      <c r="F123" s="205">
        <f t="shared" ca="1" si="22"/>
        <v>0</v>
      </c>
      <c r="G123" s="205">
        <f t="shared" ca="1" si="22"/>
        <v>0</v>
      </c>
      <c r="H123" s="205">
        <f t="shared" ca="1" si="22"/>
        <v>0</v>
      </c>
      <c r="I123" s="205">
        <f t="shared" ca="1" si="22"/>
        <v>0</v>
      </c>
      <c r="J123" s="205">
        <f t="shared" ca="1" si="22"/>
        <v>0</v>
      </c>
      <c r="K123" s="205">
        <f t="shared" ca="1" si="22"/>
        <v>0</v>
      </c>
      <c r="L123" s="205">
        <f t="shared" ca="1" si="22"/>
        <v>0</v>
      </c>
      <c r="M123" s="205">
        <f t="shared" ca="1" si="22"/>
        <v>0</v>
      </c>
      <c r="N123" s="205">
        <f t="shared" ca="1" si="22"/>
        <v>0</v>
      </c>
      <c r="P123" s="209">
        <f>SUM(P113:P118)</f>
        <v>72</v>
      </c>
    </row>
    <row r="124" spans="2:16" x14ac:dyDescent="0.25">
      <c r="B124" s="207"/>
      <c r="D124" s="184"/>
      <c r="E124" s="210"/>
      <c r="F124" s="210"/>
      <c r="G124" s="210"/>
      <c r="H124" s="210"/>
      <c r="I124" s="210"/>
      <c r="J124" s="210"/>
      <c r="K124" s="210"/>
      <c r="L124" s="210"/>
      <c r="M124" s="210"/>
      <c r="N124" s="210"/>
      <c r="P124" s="211"/>
    </row>
    <row r="125" spans="2:16" x14ac:dyDescent="0.25">
      <c r="B125" s="207"/>
      <c r="C125" s="222" t="s">
        <v>172</v>
      </c>
      <c r="D125" s="184"/>
      <c r="E125" s="206">
        <f t="shared" ref="E125:N125" ca="1" si="23">SUMPRODUCT(E113:E122,$P$113:$P$122)</f>
        <v>0</v>
      </c>
      <c r="F125" s="206">
        <f t="shared" ca="1" si="23"/>
        <v>0</v>
      </c>
      <c r="G125" s="206">
        <f t="shared" ca="1" si="23"/>
        <v>0</v>
      </c>
      <c r="H125" s="206">
        <f t="shared" ca="1" si="23"/>
        <v>0</v>
      </c>
      <c r="I125" s="206">
        <f t="shared" ca="1" si="23"/>
        <v>0</v>
      </c>
      <c r="J125" s="206">
        <f t="shared" ca="1" si="23"/>
        <v>0</v>
      </c>
      <c r="K125" s="206">
        <f t="shared" ca="1" si="23"/>
        <v>0</v>
      </c>
      <c r="L125" s="206">
        <f t="shared" ca="1" si="23"/>
        <v>0</v>
      </c>
      <c r="M125" s="206">
        <f t="shared" ca="1" si="23"/>
        <v>0</v>
      </c>
      <c r="N125" s="206">
        <f t="shared" ca="1" si="23"/>
        <v>0</v>
      </c>
      <c r="P125" s="211"/>
    </row>
    <row r="126" spans="2:16" x14ac:dyDescent="0.25">
      <c r="D126" s="184"/>
      <c r="E126" s="210"/>
      <c r="F126" s="210"/>
      <c r="G126" s="210"/>
      <c r="H126" s="210"/>
      <c r="I126" s="210"/>
      <c r="J126" s="210"/>
      <c r="K126" s="210"/>
      <c r="L126" s="210"/>
      <c r="M126" s="210"/>
      <c r="N126" s="210"/>
      <c r="P126" s="211"/>
    </row>
    <row r="127" spans="2:16" x14ac:dyDescent="0.25">
      <c r="E127" s="232">
        <f t="shared" ref="E127:N127" si="24">+E99</f>
        <v>2019</v>
      </c>
      <c r="F127" s="232">
        <f t="shared" si="24"/>
        <v>2020</v>
      </c>
      <c r="G127" s="232">
        <f t="shared" si="24"/>
        <v>2021</v>
      </c>
      <c r="H127" s="232">
        <f t="shared" si="24"/>
        <v>2022</v>
      </c>
      <c r="I127" s="232">
        <f t="shared" si="24"/>
        <v>2023</v>
      </c>
      <c r="J127" s="232">
        <f t="shared" si="24"/>
        <v>2024</v>
      </c>
      <c r="K127" s="232">
        <f t="shared" si="24"/>
        <v>2025</v>
      </c>
      <c r="L127" s="232">
        <f t="shared" si="24"/>
        <v>2026</v>
      </c>
      <c r="M127" s="232">
        <f t="shared" si="24"/>
        <v>2027</v>
      </c>
      <c r="N127" s="232">
        <f t="shared" si="24"/>
        <v>2028</v>
      </c>
    </row>
    <row r="128" spans="2:16" x14ac:dyDescent="0.25">
      <c r="C128" s="222" t="s">
        <v>173</v>
      </c>
      <c r="D128" s="184"/>
      <c r="E128" s="208">
        <f t="shared" ref="E128:N128" ca="1" si="25">E86+E123</f>
        <v>0</v>
      </c>
      <c r="F128" s="208">
        <f t="shared" ca="1" si="25"/>
        <v>0</v>
      </c>
      <c r="G128" s="208">
        <f t="shared" ca="1" si="25"/>
        <v>0</v>
      </c>
      <c r="H128" s="208">
        <f t="shared" ca="1" si="25"/>
        <v>0</v>
      </c>
      <c r="I128" s="208">
        <f t="shared" ca="1" si="25"/>
        <v>0</v>
      </c>
      <c r="J128" s="208">
        <f t="shared" ca="1" si="25"/>
        <v>0</v>
      </c>
      <c r="K128" s="208">
        <f t="shared" ca="1" si="25"/>
        <v>0</v>
      </c>
      <c r="L128" s="208">
        <f t="shared" ca="1" si="25"/>
        <v>0</v>
      </c>
      <c r="M128" s="208">
        <f t="shared" ca="1" si="25"/>
        <v>0</v>
      </c>
      <c r="N128" s="208">
        <f t="shared" ca="1" si="25"/>
        <v>0</v>
      </c>
    </row>
    <row r="129" spans="1:22" x14ac:dyDescent="0.25">
      <c r="C129" s="222" t="s">
        <v>174</v>
      </c>
      <c r="E129" s="212">
        <f ca="1">E97+E125</f>
        <v>0</v>
      </c>
      <c r="F129" s="212">
        <f t="shared" ref="F129:N129" ca="1" si="26">F97+F125</f>
        <v>0</v>
      </c>
      <c r="G129" s="212">
        <f t="shared" ca="1" si="26"/>
        <v>0</v>
      </c>
      <c r="H129" s="212">
        <f t="shared" ca="1" si="26"/>
        <v>0</v>
      </c>
      <c r="I129" s="212">
        <f t="shared" ca="1" si="26"/>
        <v>0</v>
      </c>
      <c r="J129" s="212">
        <f t="shared" ca="1" si="26"/>
        <v>0</v>
      </c>
      <c r="K129" s="212">
        <f t="shared" ca="1" si="26"/>
        <v>0</v>
      </c>
      <c r="L129" s="212">
        <f t="shared" ca="1" si="26"/>
        <v>0</v>
      </c>
      <c r="M129" s="212">
        <f t="shared" ca="1" si="26"/>
        <v>0</v>
      </c>
      <c r="N129" s="212">
        <f t="shared" ca="1" si="26"/>
        <v>0</v>
      </c>
      <c r="P129" s="183">
        <f>VLOOKUP(INPUT!E14,MaskTable,13,FALSE)</f>
        <v>22</v>
      </c>
      <c r="Q129" s="183" t="s">
        <v>175</v>
      </c>
    </row>
    <row r="130" spans="1:22" x14ac:dyDescent="0.25">
      <c r="C130" s="222" t="s">
        <v>176</v>
      </c>
      <c r="E130" s="213">
        <f t="shared" ref="E130:N130" ca="1" si="27">ROUNDUP(E129/$P130,0)</f>
        <v>0</v>
      </c>
      <c r="F130" s="213">
        <f t="shared" ca="1" si="27"/>
        <v>0</v>
      </c>
      <c r="G130" s="213">
        <f t="shared" ca="1" si="27"/>
        <v>0</v>
      </c>
      <c r="H130" s="213">
        <f t="shared" ca="1" si="27"/>
        <v>0</v>
      </c>
      <c r="I130" s="213">
        <f t="shared" ca="1" si="27"/>
        <v>0</v>
      </c>
      <c r="J130" s="213">
        <f t="shared" ca="1" si="27"/>
        <v>0</v>
      </c>
      <c r="K130" s="213">
        <f t="shared" ca="1" si="27"/>
        <v>0</v>
      </c>
      <c r="L130" s="213">
        <f t="shared" ca="1" si="27"/>
        <v>0</v>
      </c>
      <c r="M130" s="213">
        <f t="shared" ca="1" si="27"/>
        <v>0</v>
      </c>
      <c r="N130" s="213">
        <f t="shared" ca="1" si="27"/>
        <v>0</v>
      </c>
      <c r="P130" s="183">
        <f>P129*3</f>
        <v>66</v>
      </c>
      <c r="Q130" s="183" t="s">
        <v>177</v>
      </c>
    </row>
    <row r="131" spans="1:22" x14ac:dyDescent="0.25">
      <c r="A131" s="381"/>
      <c r="B131" s="381"/>
      <c r="C131" s="382" t="s">
        <v>178</v>
      </c>
      <c r="D131" s="381"/>
      <c r="E131" s="383">
        <f ca="1">ROUNDUP(E130/$P131,0)</f>
        <v>0</v>
      </c>
      <c r="F131" s="383">
        <f ca="1">ROUNDUP(F130/$P131,0)</f>
        <v>0</v>
      </c>
      <c r="G131" s="383">
        <f ca="1">ROUNDUP(G130/$P131,0)</f>
        <v>0</v>
      </c>
      <c r="H131" s="383">
        <f ca="1">ROUNDUP(H130/$P131,0)</f>
        <v>0</v>
      </c>
      <c r="I131" s="383">
        <f t="shared" ref="I131:N131" ca="1" si="28">ROUNDUP(I130/$P131,0)</f>
        <v>0</v>
      </c>
      <c r="J131" s="383">
        <f t="shared" ca="1" si="28"/>
        <v>0</v>
      </c>
      <c r="K131" s="383">
        <f t="shared" ca="1" si="28"/>
        <v>0</v>
      </c>
      <c r="L131" s="383">
        <f t="shared" ca="1" si="28"/>
        <v>0</v>
      </c>
      <c r="M131" s="383">
        <f t="shared" ca="1" si="28"/>
        <v>0</v>
      </c>
      <c r="N131" s="383">
        <f t="shared" ca="1" si="28"/>
        <v>0</v>
      </c>
      <c r="P131" s="215">
        <f>VLOOKUP(INPUT!E14,MaskTable,14,FALSE)</f>
        <v>6.5</v>
      </c>
      <c r="Q131" s="183" t="s">
        <v>179</v>
      </c>
    </row>
    <row r="132" spans="1:22" x14ac:dyDescent="0.25">
      <c r="E132" s="214"/>
      <c r="F132" s="214"/>
      <c r="G132" s="214"/>
      <c r="H132" s="214"/>
      <c r="I132" s="214"/>
      <c r="J132" s="214"/>
      <c r="K132" s="214"/>
      <c r="L132" s="214"/>
      <c r="M132" s="214"/>
      <c r="N132" s="214"/>
      <c r="P132" s="215"/>
    </row>
    <row r="133" spans="1:22" x14ac:dyDescent="0.25">
      <c r="R133" s="249" t="str">
        <f>IF(INPUT!$H$14="Grad",INPUT!K19/INPUT!G22,"-")</f>
        <v>-</v>
      </c>
      <c r="S133" s="282" t="s">
        <v>210</v>
      </c>
      <c r="T133" s="250"/>
      <c r="U133" s="250"/>
      <c r="V133" s="251"/>
    </row>
    <row r="134" spans="1:22" x14ac:dyDescent="0.25">
      <c r="C134" s="222" t="s">
        <v>180</v>
      </c>
      <c r="R134" s="252" t="str">
        <f>IF(INPUT!$H$14="Grad",ROUND(R133/2,0),"-")</f>
        <v>-</v>
      </c>
      <c r="S134" s="282" t="s">
        <v>211</v>
      </c>
      <c r="T134" s="250"/>
      <c r="U134" s="250"/>
      <c r="V134" s="251"/>
    </row>
    <row r="135" spans="1:22" x14ac:dyDescent="0.25">
      <c r="C135" s="384" t="s">
        <v>181</v>
      </c>
      <c r="D135" s="251"/>
      <c r="E135" s="248">
        <f ca="1">IF(INPUT!$H$14="UG",E95*VLOOKUP($R136,$R139:$S148,2,FALSE),0)</f>
        <v>0</v>
      </c>
      <c r="F135" s="248">
        <f ca="1">IF(INPUT!$H$14="UG",F95*VLOOKUP($R136,$R139:$S148,2,FALSE),0)</f>
        <v>0</v>
      </c>
      <c r="G135" s="248">
        <f ca="1">IF(INPUT!$H$14="UG",G95*VLOOKUP($R136,$R139:$S148,2,FALSE),0)</f>
        <v>0</v>
      </c>
      <c r="H135" s="248">
        <f ca="1">IF(INPUT!$H$14="UG",H95*VLOOKUP($R136,$R139:$S148,2,FALSE),0)</f>
        <v>0</v>
      </c>
      <c r="I135" s="248">
        <f ca="1">IF(INPUT!$H$14="UG",I95*VLOOKUP($R136,$R139:$S148,2,FALSE),0)</f>
        <v>0</v>
      </c>
      <c r="J135" s="248">
        <f ca="1">IF(INPUT!$H$14="UG",J95*VLOOKUP($R136,$R139:$S148,2,FALSE),0)</f>
        <v>0</v>
      </c>
      <c r="K135" s="248">
        <f ca="1">IF(INPUT!$H$14="UG",K95*VLOOKUP($R136,$R139:$S148,2,FALSE),0)</f>
        <v>0</v>
      </c>
      <c r="L135" s="248">
        <f ca="1">IF(INPUT!$H$14="UG",L95*VLOOKUP($R136,$R139:$S148,2,FALSE),0)</f>
        <v>0</v>
      </c>
      <c r="M135" s="248">
        <f ca="1">IF(INPUT!$H$14="UG",M95*VLOOKUP($R136,$R139:$S148,2,FALSE),0)</f>
        <v>0</v>
      </c>
      <c r="N135" s="248">
        <f ca="1">IF(INPUT!$H$14="UG",N95*VLOOKUP($R136,$R139:$S148,2,FALSE),0)</f>
        <v>0</v>
      </c>
      <c r="R135" s="285">
        <f>IF(INPUT!$H$14="UG",INPUT!K19/INPUT!G22,"-")</f>
        <v>30.75</v>
      </c>
      <c r="S135" s="286" t="s">
        <v>212</v>
      </c>
      <c r="T135" s="287"/>
      <c r="U135" s="287"/>
      <c r="V135" s="251"/>
    </row>
    <row r="136" spans="1:22" x14ac:dyDescent="0.25">
      <c r="C136" s="222" t="s">
        <v>183</v>
      </c>
      <c r="E136" s="284">
        <f ca="1">IF(INPUT!$H$14="UG",E111*VLOOKUP($R136,$R139:$S148,2,FALSE),0)</f>
        <v>0</v>
      </c>
      <c r="F136" s="284">
        <f ca="1">IF(INPUT!$H$14="UG",F111*VLOOKUP($R136,$R139:$S148,2,FALSE),0)</f>
        <v>0</v>
      </c>
      <c r="G136" s="284">
        <f ca="1">IF(INPUT!$H$14="UG",G111*VLOOKUP($R136,$R139:$S148,2,FALSE),0)</f>
        <v>0</v>
      </c>
      <c r="H136" s="284">
        <f ca="1">IF(INPUT!$H$14="UG",H111*VLOOKUP($R136,$R139:$S148,2,FALSE),0)</f>
        <v>0</v>
      </c>
      <c r="I136" s="284">
        <f ca="1">IF(INPUT!$H$14="UG",I111*VLOOKUP($R136,$R139:$S148,2,FALSE),0)</f>
        <v>0</v>
      </c>
      <c r="J136" s="284">
        <f ca="1">IF(INPUT!$H$14="UG",J111*VLOOKUP($R136,$R139:$S148,2,FALSE),0)</f>
        <v>0</v>
      </c>
      <c r="K136" s="284">
        <f ca="1">IF(INPUT!$H$14="UG",K111*VLOOKUP($R136,$R139:$S148,2,FALSE),0)</f>
        <v>0</v>
      </c>
      <c r="L136" s="284">
        <f ca="1">IF(INPUT!$H$14="UG",L111*VLOOKUP($R136,$R139:$S148,2,FALSE),0)</f>
        <v>0</v>
      </c>
      <c r="M136" s="284">
        <f ca="1">IF(INPUT!$H$14="UG",M111*VLOOKUP($R136,$R139:$S148,2,FALSE),0)</f>
        <v>0</v>
      </c>
      <c r="N136" s="284">
        <f ca="1">IF(INPUT!$H$14="UG",N111*VLOOKUP($R136,$R139:$S148,2,FALSE),0)</f>
        <v>0</v>
      </c>
      <c r="R136" s="288">
        <f>IF(INPUT!$H$14="UG",ROUND(R135/2,0),"-")</f>
        <v>15</v>
      </c>
      <c r="S136" s="286" t="s">
        <v>213</v>
      </c>
      <c r="T136" s="287"/>
      <c r="U136" s="287"/>
      <c r="V136" s="251"/>
    </row>
    <row r="137" spans="1:22" x14ac:dyDescent="0.25">
      <c r="C137" s="222" t="s">
        <v>184</v>
      </c>
      <c r="E137" s="215">
        <f>IF(INPUT!$H$14="Grad",E78*VLOOKUP($R$134,$R$139:$S$148,2,FALSE),0)</f>
        <v>0</v>
      </c>
      <c r="F137" s="215">
        <f>IF(INPUT!$H$14="Grad",F78*VLOOKUP($R$134,$R$139:$S$148,2,FALSE),0)</f>
        <v>0</v>
      </c>
      <c r="G137" s="215">
        <f>IF(INPUT!$H$14="Grad",G78*VLOOKUP($R$134,$R$139:$S$148,2,FALSE),0)</f>
        <v>0</v>
      </c>
      <c r="H137" s="215">
        <f>IF(INPUT!$H$14="Grad",H78*VLOOKUP($R$134,$R$139:$S$148,2,FALSE),0)</f>
        <v>0</v>
      </c>
      <c r="I137" s="215">
        <f>IF(INPUT!$H$14="Grad",I78*VLOOKUP($R$134,$R$139:$S$148,2,FALSE),0)</f>
        <v>0</v>
      </c>
      <c r="J137" s="215">
        <f>IF(INPUT!$H$14="Grad",J78*VLOOKUP($R$134,$R$139:$S$148,2,FALSE),0)</f>
        <v>0</v>
      </c>
      <c r="K137" s="215">
        <f>IF(INPUT!$H$14="Grad",K78*VLOOKUP($R$134,$R$139:$S$148,2,FALSE),0)</f>
        <v>0</v>
      </c>
      <c r="L137" s="215">
        <f>IF(INPUT!$H$14="Grad",L78*VLOOKUP($R$134,$R$139:$S$148,2,FALSE),0)</f>
        <v>0</v>
      </c>
      <c r="M137" s="215">
        <f>IF(INPUT!$H$14="Grad",M78*VLOOKUP($R$134,$R$139:$S$148,2,FALSE),0)</f>
        <v>0</v>
      </c>
      <c r="N137" s="215">
        <f>IF(INPUT!$H$14="Grad",N78*VLOOKUP($R$134,$R$139:$S$148,2,FALSE),0)</f>
        <v>0</v>
      </c>
      <c r="V137" s="251"/>
    </row>
    <row r="138" spans="1:22" x14ac:dyDescent="0.25">
      <c r="C138" s="222" t="s">
        <v>185</v>
      </c>
      <c r="E138" s="215">
        <f>IF(INPUT!$H$14="Grad",E78+E111-E137,0)</f>
        <v>0</v>
      </c>
      <c r="F138" s="215">
        <f>IF(INPUT!$H$14="Grad",F78+F111-F137,0)</f>
        <v>0</v>
      </c>
      <c r="G138" s="215">
        <f>IF(INPUT!$H$14="Grad",G78+G111-G137,0)</f>
        <v>0</v>
      </c>
      <c r="H138" s="215">
        <f>IF(INPUT!$H$14="Grad",H78+H111-H137,0)</f>
        <v>0</v>
      </c>
      <c r="I138" s="215">
        <f>IF(INPUT!$H$14="Grad",I78+I111-I137,0)</f>
        <v>0</v>
      </c>
      <c r="J138" s="215">
        <f>IF(INPUT!$H$14="Grad",J78+J111-J137,0)</f>
        <v>0</v>
      </c>
      <c r="K138" s="215">
        <f>IF(INPUT!$H$14="Grad",K78+K111-K137,0)</f>
        <v>0</v>
      </c>
      <c r="L138" s="215">
        <f>IF(INPUT!$H$14="Grad",L78+L111-L137,0)</f>
        <v>0</v>
      </c>
      <c r="M138" s="215">
        <f>IF(INPUT!$H$14="Grad",M78+M111-M137,0)</f>
        <v>0</v>
      </c>
      <c r="N138" s="215">
        <f>IF(INPUT!$H$14="Grad",N78+N111-N137,0)</f>
        <v>0</v>
      </c>
      <c r="S138" s="183" t="s">
        <v>182</v>
      </c>
    </row>
    <row r="139" spans="1:22" x14ac:dyDescent="0.25">
      <c r="E139" s="218">
        <f t="shared" ref="E139:N139" ca="1" si="29">SUM(E135:E138)</f>
        <v>0</v>
      </c>
      <c r="F139" s="218">
        <f t="shared" ca="1" si="29"/>
        <v>0</v>
      </c>
      <c r="G139" s="218">
        <f t="shared" ca="1" si="29"/>
        <v>0</v>
      </c>
      <c r="H139" s="218">
        <f t="shared" ca="1" si="29"/>
        <v>0</v>
      </c>
      <c r="I139" s="218">
        <f t="shared" ca="1" si="29"/>
        <v>0</v>
      </c>
      <c r="J139" s="218">
        <f t="shared" ca="1" si="29"/>
        <v>0</v>
      </c>
      <c r="K139" s="218">
        <f t="shared" ca="1" si="29"/>
        <v>0</v>
      </c>
      <c r="L139" s="218">
        <f t="shared" ca="1" si="29"/>
        <v>0</v>
      </c>
      <c r="M139" s="218">
        <f t="shared" ca="1" si="29"/>
        <v>0</v>
      </c>
      <c r="N139" s="218">
        <f t="shared" ca="1" si="29"/>
        <v>0</v>
      </c>
      <c r="R139" s="216">
        <v>6</v>
      </c>
      <c r="S139" s="217">
        <v>0</v>
      </c>
    </row>
    <row r="140" spans="1:22" x14ac:dyDescent="0.25">
      <c r="R140" s="216">
        <v>7</v>
      </c>
      <c r="S140" s="217">
        <v>0</v>
      </c>
    </row>
    <row r="141" spans="1:22" x14ac:dyDescent="0.25">
      <c r="C141" s="222" t="s">
        <v>186</v>
      </c>
      <c r="R141" s="216">
        <v>8</v>
      </c>
      <c r="S141" s="217">
        <v>0</v>
      </c>
    </row>
    <row r="142" spans="1:22" x14ac:dyDescent="0.25">
      <c r="C142" s="222" t="s">
        <v>181</v>
      </c>
      <c r="E142" s="215">
        <f ca="1">IF(INPUT!$H$14="UG",E97,0)</f>
        <v>0</v>
      </c>
      <c r="F142" s="215">
        <f ca="1">IF(INPUT!$H$14="UG",F97,0)</f>
        <v>0</v>
      </c>
      <c r="G142" s="215">
        <f ca="1">IF(INPUT!$H$14="UG",G97,0)</f>
        <v>0</v>
      </c>
      <c r="H142" s="215">
        <f ca="1">IF(INPUT!$H$14="UG",H97,0)</f>
        <v>0</v>
      </c>
      <c r="I142" s="215">
        <f ca="1">IF(INPUT!$H$14="UG",I97,0)</f>
        <v>0</v>
      </c>
      <c r="J142" s="215">
        <f ca="1">IF(INPUT!$H$14="UG",J97,0)</f>
        <v>0</v>
      </c>
      <c r="K142" s="215">
        <f ca="1">IF(INPUT!$H$14="UG",K97,0)</f>
        <v>0</v>
      </c>
      <c r="L142" s="215">
        <f ca="1">IF(INPUT!$H$14="UG",L97,0)</f>
        <v>0</v>
      </c>
      <c r="M142" s="215">
        <f ca="1">IF(INPUT!$H$14="UG",M97,0)</f>
        <v>0</v>
      </c>
      <c r="N142" s="215">
        <f ca="1">IF(INPUT!$H$14="UG",N97,0)</f>
        <v>0</v>
      </c>
      <c r="R142" s="216">
        <v>9</v>
      </c>
      <c r="S142" s="217">
        <v>0</v>
      </c>
    </row>
    <row r="143" spans="1:22" x14ac:dyDescent="0.25">
      <c r="C143" s="222" t="s">
        <v>183</v>
      </c>
      <c r="E143" s="215">
        <f ca="1">IF(INPUT!$H$14="UG",E125,0)</f>
        <v>0</v>
      </c>
      <c r="F143" s="215">
        <f ca="1">IF(INPUT!$H$14="UG",F125,0)</f>
        <v>0</v>
      </c>
      <c r="G143" s="215">
        <f ca="1">IF(INPUT!$H$14="UG",G125,0)</f>
        <v>0</v>
      </c>
      <c r="H143" s="215">
        <f ca="1">IF(INPUT!$H$14="UG",H125,0)</f>
        <v>0</v>
      </c>
      <c r="I143" s="215">
        <f ca="1">IF(INPUT!$H$14="UG",I125,0)</f>
        <v>0</v>
      </c>
      <c r="J143" s="215">
        <f ca="1">IF(INPUT!$H$14="UG",J125,0)</f>
        <v>0</v>
      </c>
      <c r="K143" s="215">
        <f ca="1">IF(INPUT!$H$14="UG",K125,0)</f>
        <v>0</v>
      </c>
      <c r="L143" s="215">
        <f ca="1">IF(INPUT!$H$14="UG",L125,0)</f>
        <v>0</v>
      </c>
      <c r="M143" s="215">
        <f ca="1">IF(INPUT!$H$14="UG",M125,0)</f>
        <v>0</v>
      </c>
      <c r="N143" s="215">
        <f ca="1">IF(INPUT!$H$14="UG",N125,0)</f>
        <v>0</v>
      </c>
      <c r="R143" s="216">
        <v>10</v>
      </c>
      <c r="S143" s="217">
        <v>0.2</v>
      </c>
    </row>
    <row r="144" spans="1:22" x14ac:dyDescent="0.25">
      <c r="C144" s="222" t="s">
        <v>184</v>
      </c>
      <c r="E144" s="248">
        <f>IF(INPUT!$H$14="Grad",$R$134*2*E137,0)</f>
        <v>0</v>
      </c>
      <c r="F144" s="248">
        <f>IF(INPUT!$H$14="Grad",$R$134*2*F137,0)</f>
        <v>0</v>
      </c>
      <c r="G144" s="248">
        <f>IF(INPUT!$H$14="Grad",$R$134*2*G137,0)</f>
        <v>0</v>
      </c>
      <c r="H144" s="248">
        <f>IF(INPUT!$H$14="Grad",$R$134*2*H137,0)</f>
        <v>0</v>
      </c>
      <c r="I144" s="248">
        <f>IF(INPUT!$H$14="Grad",$R$134*2*I137,0)</f>
        <v>0</v>
      </c>
      <c r="J144" s="248">
        <f>IF(INPUT!$H$14="Grad",$R$134*2*J137,0)</f>
        <v>0</v>
      </c>
      <c r="K144" s="248">
        <f>IF(INPUT!$H$14="Grad",$R$134*2*K137,0)</f>
        <v>0</v>
      </c>
      <c r="L144" s="248">
        <f>IF(INPUT!$H$14="Grad",$R$134*2*L137,0)</f>
        <v>0</v>
      </c>
      <c r="M144" s="248">
        <f>IF(INPUT!$H$14="Grad",$R$134*2*M137,0)</f>
        <v>0</v>
      </c>
      <c r="N144" s="248">
        <f>IF(INPUT!$H$14="Grad",$R$134*2*N137,0)</f>
        <v>0</v>
      </c>
      <c r="R144" s="216">
        <v>11</v>
      </c>
      <c r="S144" s="217">
        <v>0.4</v>
      </c>
    </row>
    <row r="145" spans="3:22" x14ac:dyDescent="0.25">
      <c r="C145" s="222" t="s">
        <v>185</v>
      </c>
      <c r="E145" s="215">
        <f>IF(INPUT!$H$14="Grad",E129-E144,0)</f>
        <v>0</v>
      </c>
      <c r="F145" s="215">
        <f>IF(INPUT!$H$14="Grad",F129-F144,0)</f>
        <v>0</v>
      </c>
      <c r="G145" s="215">
        <f>IF(INPUT!$H$14="Grad",G129-G144,0)</f>
        <v>0</v>
      </c>
      <c r="H145" s="215">
        <f>IF(INPUT!$H$14="Grad",H129-H144,0)</f>
        <v>0</v>
      </c>
      <c r="I145" s="215">
        <f>IF(INPUT!$H$14="Grad",I129-I144,0)</f>
        <v>0</v>
      </c>
      <c r="J145" s="215">
        <f>IF(INPUT!$H$14="Grad",J129-J144,0)</f>
        <v>0</v>
      </c>
      <c r="K145" s="215">
        <f>IF(INPUT!$H$14="Grad",K129-K144,0)</f>
        <v>0</v>
      </c>
      <c r="L145" s="215">
        <f>IF(INPUT!$H$14="Grad",L129-L144,0)</f>
        <v>0</v>
      </c>
      <c r="M145" s="215">
        <f>IF(INPUT!$H$14="Grad",M129-M144,0)</f>
        <v>0</v>
      </c>
      <c r="N145" s="215">
        <f>IF(INPUT!$H$14="Grad",N129-N144,0)</f>
        <v>0</v>
      </c>
      <c r="R145" s="216">
        <v>12</v>
      </c>
      <c r="S145" s="217">
        <v>0.9</v>
      </c>
    </row>
    <row r="146" spans="3:22" x14ac:dyDescent="0.25">
      <c r="E146" s="218">
        <f t="shared" ref="E146:N146" ca="1" si="30">SUM(E142:E145)</f>
        <v>0</v>
      </c>
      <c r="F146" s="218">
        <f t="shared" ca="1" si="30"/>
        <v>0</v>
      </c>
      <c r="G146" s="218">
        <f t="shared" ca="1" si="30"/>
        <v>0</v>
      </c>
      <c r="H146" s="218">
        <f t="shared" ca="1" si="30"/>
        <v>0</v>
      </c>
      <c r="I146" s="218">
        <f t="shared" ca="1" si="30"/>
        <v>0</v>
      </c>
      <c r="J146" s="218">
        <f t="shared" ca="1" si="30"/>
        <v>0</v>
      </c>
      <c r="K146" s="218">
        <f t="shared" ca="1" si="30"/>
        <v>0</v>
      </c>
      <c r="L146" s="218">
        <f t="shared" ca="1" si="30"/>
        <v>0</v>
      </c>
      <c r="M146" s="218">
        <f t="shared" ca="1" si="30"/>
        <v>0</v>
      </c>
      <c r="N146" s="218">
        <f t="shared" ca="1" si="30"/>
        <v>0</v>
      </c>
      <c r="R146" s="216">
        <v>13</v>
      </c>
      <c r="S146" s="217">
        <v>1</v>
      </c>
    </row>
    <row r="147" spans="3:22" x14ac:dyDescent="0.25">
      <c r="C147" s="222" t="s">
        <v>187</v>
      </c>
      <c r="E147" s="220" t="str">
        <f>IF(INPUT!$H$14="Grad",E146/E139/2,"-")</f>
        <v>-</v>
      </c>
      <c r="F147" s="220" t="str">
        <f>IF(INPUT!$H$14="Grad",F146/F139/2,"-")</f>
        <v>-</v>
      </c>
      <c r="G147" s="220" t="str">
        <f>IF(INPUT!$H$14="Grad",G146/G139/2,"-")</f>
        <v>-</v>
      </c>
      <c r="H147" s="220" t="str">
        <f>IF(INPUT!$H$14="Grad",H146/H139/2,"-")</f>
        <v>-</v>
      </c>
      <c r="I147" s="220" t="str">
        <f>IF(INPUT!$H$14="Grad",I146/I139/2,"-")</f>
        <v>-</v>
      </c>
      <c r="J147" s="220" t="str">
        <f>IF(INPUT!$H$14="Grad",J146/J139/2,"-")</f>
        <v>-</v>
      </c>
      <c r="K147" s="220" t="str">
        <f>IF(INPUT!$H$14="Grad",K146/K139/2,"-")</f>
        <v>-</v>
      </c>
      <c r="L147" s="220" t="str">
        <f>IF(INPUT!$H$14="Grad",L146/L139/2,"-")</f>
        <v>-</v>
      </c>
      <c r="M147" s="220" t="str">
        <f>IF(INPUT!$H$14="Grad",M146/M139/2,"-")</f>
        <v>-</v>
      </c>
      <c r="N147" s="220" t="str">
        <f>IF(INPUT!$H$14="Grad",N146/N139/2,"-")</f>
        <v>-</v>
      </c>
      <c r="R147" s="216">
        <v>14</v>
      </c>
      <c r="S147" s="217">
        <v>1</v>
      </c>
    </row>
    <row r="148" spans="3:22" x14ac:dyDescent="0.25">
      <c r="R148" s="216">
        <v>15</v>
      </c>
      <c r="S148" s="217">
        <v>1</v>
      </c>
    </row>
    <row r="150" spans="3:22" x14ac:dyDescent="0.25">
      <c r="C150" s="222" t="s">
        <v>188</v>
      </c>
      <c r="E150" s="232">
        <f t="shared" ref="E150:N150" si="31">+E127</f>
        <v>2019</v>
      </c>
      <c r="F150" s="232">
        <f t="shared" si="31"/>
        <v>2020</v>
      </c>
      <c r="G150" s="232">
        <f t="shared" si="31"/>
        <v>2021</v>
      </c>
      <c r="H150" s="232">
        <f t="shared" si="31"/>
        <v>2022</v>
      </c>
      <c r="I150" s="232">
        <f t="shared" si="31"/>
        <v>2023</v>
      </c>
      <c r="J150" s="232">
        <f t="shared" si="31"/>
        <v>2024</v>
      </c>
      <c r="K150" s="232">
        <f t="shared" si="31"/>
        <v>2025</v>
      </c>
      <c r="L150" s="232">
        <f t="shared" si="31"/>
        <v>2026</v>
      </c>
      <c r="M150" s="232">
        <f t="shared" si="31"/>
        <v>2027</v>
      </c>
      <c r="N150" s="232">
        <f t="shared" si="31"/>
        <v>2028</v>
      </c>
      <c r="P150" s="1"/>
    </row>
    <row r="151" spans="3:22" x14ac:dyDescent="0.25">
      <c r="C151" s="222" t="s">
        <v>181</v>
      </c>
      <c r="E151" s="219">
        <f ca="1">E135*R155</f>
        <v>0</v>
      </c>
      <c r="F151" s="219">
        <f ca="1">F135*S155</f>
        <v>0</v>
      </c>
      <c r="G151" s="219">
        <f ca="1">G135*T155</f>
        <v>0</v>
      </c>
      <c r="H151" s="219">
        <f ca="1">H135*U155</f>
        <v>0</v>
      </c>
      <c r="I151" s="219">
        <f ca="1">I135*V155</f>
        <v>0</v>
      </c>
      <c r="J151" s="219">
        <f ca="1">J135*$V155*1.035</f>
        <v>0</v>
      </c>
      <c r="K151" s="219">
        <f ca="1">K135*$V155*1.035*1.035</f>
        <v>0</v>
      </c>
      <c r="L151" s="219">
        <f ca="1">L135*$V155*1.035*1.035*1.035</f>
        <v>0</v>
      </c>
      <c r="M151" s="219">
        <f ca="1">M135*$V155*1.035*1.035*1.035*1.035</f>
        <v>0</v>
      </c>
      <c r="N151" s="219">
        <f ca="1">N135*$V155*1.035*1.035*1.035*1.035*1.035</f>
        <v>0</v>
      </c>
    </row>
    <row r="152" spans="3:22" x14ac:dyDescent="0.25">
      <c r="C152" s="222" t="s">
        <v>183</v>
      </c>
      <c r="E152" s="219">
        <f ca="1">E143*R157</f>
        <v>0</v>
      </c>
      <c r="F152" s="219">
        <f ca="1">F143*S157</f>
        <v>0</v>
      </c>
      <c r="G152" s="219">
        <f ca="1">G143*T157</f>
        <v>0</v>
      </c>
      <c r="H152" s="219">
        <f ca="1">H143*U157</f>
        <v>0</v>
      </c>
      <c r="I152" s="219">
        <f ca="1">I143*V157</f>
        <v>0</v>
      </c>
      <c r="J152" s="219">
        <f ca="1">J143*$V157*1.035</f>
        <v>0</v>
      </c>
      <c r="K152" s="219">
        <f ca="1">K143*$V157*1.035*1.035</f>
        <v>0</v>
      </c>
      <c r="L152" s="219">
        <f ca="1">L143*$V157*1.035*1.035*1.035</f>
        <v>0</v>
      </c>
      <c r="M152" s="219">
        <f ca="1">M143*$V157*1.035*1.035*1.035*1.035</f>
        <v>0</v>
      </c>
      <c r="N152" s="219">
        <f ca="1">N143*$V157*1.035*1.035*1.035*1.035*1.035</f>
        <v>0</v>
      </c>
    </row>
    <row r="153" spans="3:22" x14ac:dyDescent="0.25">
      <c r="C153" s="222" t="s">
        <v>184</v>
      </c>
      <c r="E153" s="219">
        <f>E137*R155</f>
        <v>0</v>
      </c>
      <c r="F153" s="219">
        <f>F137*S155</f>
        <v>0</v>
      </c>
      <c r="G153" s="219">
        <f>G137*T155</f>
        <v>0</v>
      </c>
      <c r="H153" s="219">
        <f>H137*U155</f>
        <v>0</v>
      </c>
      <c r="I153" s="219">
        <f>I137*V155</f>
        <v>0</v>
      </c>
      <c r="J153" s="219">
        <f>J137*V155*1.035</f>
        <v>0</v>
      </c>
      <c r="K153" s="219">
        <f>K137*W152*1.035*1.035</f>
        <v>0</v>
      </c>
      <c r="L153" s="219">
        <f>L137*X152*1.035*1.035*1.035</f>
        <v>0</v>
      </c>
      <c r="M153" s="219">
        <f>M137*Y152*1.035*1.035*1.035*1.035</f>
        <v>0</v>
      </c>
      <c r="N153" s="219">
        <f>N137*Z152*1.035*1.035*1.035*1.035*1.035</f>
        <v>0</v>
      </c>
      <c r="R153" s="243" t="s">
        <v>195</v>
      </c>
      <c r="S153" s="244"/>
      <c r="T153" s="244"/>
      <c r="U153" s="244"/>
      <c r="V153" s="245"/>
    </row>
    <row r="154" spans="3:22" x14ac:dyDescent="0.25">
      <c r="C154" s="222" t="s">
        <v>185</v>
      </c>
      <c r="E154" s="219">
        <f ca="1">E145*R157</f>
        <v>0</v>
      </c>
      <c r="F154" s="219">
        <f>F145*S157</f>
        <v>0</v>
      </c>
      <c r="G154" s="219">
        <f>G145*T157</f>
        <v>0</v>
      </c>
      <c r="H154" s="219">
        <f>H145*U157</f>
        <v>0</v>
      </c>
      <c r="I154" s="219">
        <f>I145*V157</f>
        <v>0</v>
      </c>
      <c r="J154" s="219">
        <f>J145*$V157*1.035</f>
        <v>0</v>
      </c>
      <c r="K154" s="219">
        <f>K145*$V157*1.035*1.035</f>
        <v>0</v>
      </c>
      <c r="L154" s="219">
        <f>L145*$V157*1.035*1.035*1.035</f>
        <v>0</v>
      </c>
      <c r="M154" s="219">
        <f>M145*$V157*1.035*1.035*1.035*1.035</f>
        <v>0</v>
      </c>
      <c r="N154" s="219">
        <f>N145*$V157*1.035*1.035*1.035*1.035*1.035</f>
        <v>0</v>
      </c>
      <c r="P154" s="1" t="s">
        <v>78</v>
      </c>
      <c r="R154" s="59">
        <f>+INPUT!E6</f>
        <v>2019</v>
      </c>
      <c r="S154" s="59">
        <f>+R154+1</f>
        <v>2020</v>
      </c>
      <c r="T154" s="168">
        <f>+S154+1</f>
        <v>2021</v>
      </c>
      <c r="U154" s="168">
        <f>+T154+1</f>
        <v>2022</v>
      </c>
      <c r="V154" s="168">
        <f>+U154+1</f>
        <v>2023</v>
      </c>
    </row>
    <row r="155" spans="3:22" x14ac:dyDescent="0.25">
      <c r="E155" s="221">
        <f t="shared" ref="E155:N155" ca="1" si="32">SUM(E151:E154)</f>
        <v>0</v>
      </c>
      <c r="F155" s="221">
        <f t="shared" ca="1" si="32"/>
        <v>0</v>
      </c>
      <c r="G155" s="221">
        <f t="shared" ca="1" si="32"/>
        <v>0</v>
      </c>
      <c r="H155" s="221">
        <f t="shared" ca="1" si="32"/>
        <v>0</v>
      </c>
      <c r="I155" s="221">
        <f t="shared" ca="1" si="32"/>
        <v>0</v>
      </c>
      <c r="J155" s="221">
        <f t="shared" ca="1" si="32"/>
        <v>0</v>
      </c>
      <c r="K155" s="221">
        <f t="shared" ca="1" si="32"/>
        <v>0</v>
      </c>
      <c r="L155" s="221">
        <f t="shared" ca="1" si="32"/>
        <v>0</v>
      </c>
      <c r="M155" s="221">
        <f t="shared" ca="1" si="32"/>
        <v>0</v>
      </c>
      <c r="N155" s="221">
        <f t="shared" ca="1" si="32"/>
        <v>0</v>
      </c>
      <c r="P155" s="1" t="s">
        <v>46</v>
      </c>
      <c r="R155" s="73">
        <f>IF(INPUT!$H$14="Grad",LOOKUP(R$154,'Intermediate-Calculations'!$B$16:$O$16,'Intermediate-Calculations'!$B$17:$O$17),LOOKUP(R$154,'Intermediate-Calculations'!$B$21:$O$21,'Intermediate-Calculations'!$B$22:$O$22))</f>
        <v>40574.639353499995</v>
      </c>
      <c r="S155" s="73">
        <f>IF(INPUT!$H$14="Grad",LOOKUP(S154,'Intermediate-Calculations'!$B$16:$O$16,'Intermediate-Calculations'!$B$17:$O$17),LOOKUP(S154,'Intermediate-Calculations'!$B$21:$O$21,'Intermediate-Calculations'!$B$22:$O$22))</f>
        <v>41994.751730872493</v>
      </c>
      <c r="T155" s="73">
        <f>IF(INPUT!$H$14="Grad",LOOKUP(T154,'Intermediate-Calculations'!$B$16:$O$16,'Intermediate-Calculations'!$B$17:$O$17),LOOKUP(T154,'Intermediate-Calculations'!$B$21:$O$21,'Intermediate-Calculations'!$B$22:$O$22))</f>
        <v>43464.568041453029</v>
      </c>
      <c r="U155" s="73">
        <f>IF(INPUT!$H$14="Grad",LOOKUP(U154,'Intermediate-Calculations'!$B$16:$O$16,'Intermediate-Calculations'!$B$17:$O$17),LOOKUP(U154,'Intermediate-Calculations'!$B$21:$O$21,'Intermediate-Calculations'!$B$22:$O$22))</f>
        <v>44985.827922903882</v>
      </c>
      <c r="V155" s="73">
        <f>IF(INPUT!$H$14="Grad",LOOKUP(V154,'Intermediate-Calculations'!$B$16:$O$16,'Intermediate-Calculations'!$B$17:$O$17),LOOKUP(V154,'Intermediate-Calculations'!$B$21:$O$21,'Intermediate-Calculations'!$B$22:$O$22))</f>
        <v>46560.331900205514</v>
      </c>
    </row>
    <row r="156" spans="3:22" ht="15" x14ac:dyDescent="0.25">
      <c r="C156" s="183"/>
      <c r="P156" s="1" t="s">
        <v>94</v>
      </c>
      <c r="R156" s="73">
        <f>IF(INPUT!$H$14="Grad",LOOKUP(R$154,'Intermediate-Calculations'!$B$16:$O$16,'Intermediate-Calculations'!$B$18:$O$18),LOOKUP(R$154,'Intermediate-Calculations'!$B$21:$O$21,'Intermediate-Calculations'!$B$23:$O$23))</f>
        <v>20287.319676749998</v>
      </c>
      <c r="S156" s="73">
        <f>IF(INPUT!$H$14="Grad",LOOKUP(S$154,'Intermediate-Calculations'!$B$16:$O$16,'Intermediate-Calculations'!$B$18:$O$18),LOOKUP(S$154,'Intermediate-Calculations'!$B$21:$O$21,'Intermediate-Calculations'!$B$23:$O$23))</f>
        <v>20997.375865436246</v>
      </c>
      <c r="T156" s="73">
        <f>IF(INPUT!$H$14="Grad",LOOKUP(T$154,'Intermediate-Calculations'!$B$16:$LO$16,'Intermediate-Calculations'!$B$18:$O$18),LOOKUP(T$154,'Intermediate-Calculations'!$B$21:$O$21,'Intermediate-Calculations'!$B$23:$O$23))</f>
        <v>21732.284020726514</v>
      </c>
      <c r="U156" s="73">
        <f>IF(INPUT!$H$14="Grad",LOOKUP(U$154,'Intermediate-Calculations'!$B$16:$O$16,'Intermediate-Calculations'!$B$18:$O$18),LOOKUP(U$154,'Intermediate-Calculations'!$B$21:$O$21,'Intermediate-Calculations'!$B$23:$O$23))</f>
        <v>22492.913961451941</v>
      </c>
      <c r="V156" s="73">
        <f>IF(INPUT!$H$14="Grad",LOOKUP(V$154,'Intermediate-Calculations'!$B$16:$O$16,'Intermediate-Calculations'!$B$18:$O$18),LOOKUP(V$154,'Intermediate-Calculations'!$B$21:$O$21,'Intermediate-Calculations'!$B$23:$O$23))</f>
        <v>23280.165950102757</v>
      </c>
    </row>
    <row r="157" spans="3:22" x14ac:dyDescent="0.25">
      <c r="P157" s="1" t="s">
        <v>45</v>
      </c>
      <c r="R157" s="73">
        <f ca="1">IF(INPUT!$H$14="Grad",LOOKUP(R$154,'Intermediate-Calculations'!$B$16:$O$16,'Intermediate-Calculations'!$B$19:$O$19),LOOKUP(R$154,'Intermediate-Calculations'!$B$21:$O$21,'Intermediate-Calculations'!$B$24:$L$24))</f>
        <v>1475.7034916249997</v>
      </c>
      <c r="S157" s="73">
        <f>IF(INPUT!$H$14="Grad",LOOKUP(S$154,'Intermediate-Calculations'!$B$16:$O$16,'Intermediate-Calculations'!$B$19:$O$19),LOOKUP(S$154,'Intermediate-Calculations'!$B$21:$O$21,'Intermediate-Calculations'!$B$24:$O$24))</f>
        <v>1527.3531138318747</v>
      </c>
      <c r="T157" s="73">
        <f>IF(INPUT!$H$14="Grad",LOOKUP(T$154,'Intermediate-Calculations'!$B$16:$O$16,'Intermediate-Calculations'!$B$19:$O$19),LOOKUP(T$154,'Intermediate-Calculations'!$B$21:$O$21,'Intermediate-Calculations'!$B$24:$O$24))</f>
        <v>1580.8104728159901</v>
      </c>
      <c r="U157" s="73">
        <f>IF(INPUT!$H$14="Grad",LOOKUP(U$154,'Intermediate-Calculations'!$B$16:$O$16,'Intermediate-Calculations'!$B$19:$O$19),LOOKUP(U$154,'Intermediate-Calculations'!$B$21:$O$21,'Intermediate-Calculations'!$B$24:$O$24))</f>
        <v>1636.1388393645495</v>
      </c>
      <c r="V157" s="73">
        <f>IF(INPUT!$H$14="Grad",LOOKUP(V$154,'Intermediate-Calculations'!$B$16:$O$16,'Intermediate-Calculations'!$B$19:$O$19),LOOKUP(V$154,'Intermediate-Calculations'!$B$21:$O$21,'Intermediate-Calculations'!$B$24:$O$24))</f>
        <v>1693.4036987423087</v>
      </c>
    </row>
    <row r="158" spans="3:22" x14ac:dyDescent="0.25">
      <c r="C158" s="222" t="s">
        <v>193</v>
      </c>
      <c r="E158" s="232">
        <f t="shared" ref="E158:N158" si="33">+E150</f>
        <v>2019</v>
      </c>
      <c r="F158" s="232">
        <f t="shared" si="33"/>
        <v>2020</v>
      </c>
      <c r="G158" s="232">
        <f t="shared" si="33"/>
        <v>2021</v>
      </c>
      <c r="H158" s="232">
        <f t="shared" si="33"/>
        <v>2022</v>
      </c>
      <c r="I158" s="232">
        <f t="shared" si="33"/>
        <v>2023</v>
      </c>
      <c r="J158" s="232">
        <f t="shared" si="33"/>
        <v>2024</v>
      </c>
      <c r="K158" s="232">
        <f t="shared" si="33"/>
        <v>2025</v>
      </c>
      <c r="L158" s="232">
        <f t="shared" si="33"/>
        <v>2026</v>
      </c>
      <c r="M158" s="232">
        <f t="shared" si="33"/>
        <v>2027</v>
      </c>
      <c r="N158" s="232">
        <f t="shared" si="33"/>
        <v>2028</v>
      </c>
    </row>
    <row r="159" spans="3:22" x14ac:dyDescent="0.25">
      <c r="C159" s="222" t="s">
        <v>181</v>
      </c>
      <c r="E159" s="229">
        <f ca="1">+E151*Assumptions!$B40</f>
        <v>0</v>
      </c>
      <c r="F159" s="229">
        <f ca="1">+F151*Assumptions!$B40</f>
        <v>0</v>
      </c>
      <c r="G159" s="229">
        <f ca="1">+G151*Assumptions!$B40</f>
        <v>0</v>
      </c>
      <c r="H159" s="229">
        <f ca="1">+H151*Assumptions!$B40</f>
        <v>0</v>
      </c>
      <c r="I159" s="229">
        <f ca="1">+I151*Assumptions!$B40</f>
        <v>0</v>
      </c>
      <c r="J159" s="229">
        <f ca="1">+J151*Assumptions!$B40</f>
        <v>0</v>
      </c>
      <c r="K159" s="229">
        <f ca="1">+K151*Assumptions!$B40</f>
        <v>0</v>
      </c>
      <c r="L159" s="229">
        <f ca="1">+L151*Assumptions!$B40</f>
        <v>0</v>
      </c>
      <c r="M159" s="229">
        <f ca="1">+M151*Assumptions!$B40</f>
        <v>0</v>
      </c>
      <c r="N159" s="229">
        <f ca="1">+N151*Assumptions!$B40</f>
        <v>0</v>
      </c>
      <c r="P159" s="1" t="s">
        <v>78</v>
      </c>
      <c r="R159" s="59">
        <f>+R154</f>
        <v>2019</v>
      </c>
      <c r="S159" s="168">
        <f>+S154</f>
        <v>2020</v>
      </c>
      <c r="T159" s="168">
        <f>+T154</f>
        <v>2021</v>
      </c>
      <c r="U159" s="168">
        <f>+U154</f>
        <v>2022</v>
      </c>
      <c r="V159" s="168">
        <f>+V154</f>
        <v>2023</v>
      </c>
    </row>
    <row r="160" spans="3:22" x14ac:dyDescent="0.25">
      <c r="C160" s="222" t="s">
        <v>183</v>
      </c>
      <c r="E160" s="247">
        <v>0</v>
      </c>
      <c r="F160" s="247">
        <v>0</v>
      </c>
      <c r="G160" s="247">
        <v>0</v>
      </c>
      <c r="H160" s="247">
        <v>0</v>
      </c>
      <c r="I160" s="247">
        <v>0</v>
      </c>
      <c r="J160" s="247">
        <v>0</v>
      </c>
      <c r="K160" s="247">
        <v>0</v>
      </c>
      <c r="L160" s="247">
        <v>0</v>
      </c>
      <c r="M160" s="247">
        <v>0</v>
      </c>
      <c r="N160" s="247">
        <v>0</v>
      </c>
      <c r="P160" s="1" t="s">
        <v>79</v>
      </c>
      <c r="R160" s="73">
        <f>IF(INPUT!$H$14="Grad",LOOKUP(R$154,'Intermediate-Calculations'!$B$16:$L$16,'Intermediate-Calculations'!$B$17:$L$17),LOOKUP(R159,'Intermediate-Calculations'!$B$21:$L$21,'Intermediate-Calculations'!$B$22:$L$22))</f>
        <v>40574.639353499995</v>
      </c>
      <c r="S160" s="73">
        <f>IF(INPUT!$H$14="Grad",LOOKUP(S$154,'Intermediate-Calculations'!$B$16:$L$16,'Intermediate-Calculations'!$B$17:$L$17),LOOKUP(S159,'Intermediate-Calculations'!$B$21:$L$21,'Intermediate-Calculations'!$B$22:$L$22))</f>
        <v>41994.751730872493</v>
      </c>
      <c r="T160" s="73">
        <f>IF(INPUT!$H$14="Grad",LOOKUP(T$154,'Intermediate-Calculations'!$B$16:$L$16,'Intermediate-Calculations'!$B$17:$L$17),LOOKUP(T159,'Intermediate-Calculations'!$B$21:$L$21,'Intermediate-Calculations'!$B$22:$L$22))</f>
        <v>41994.751730872493</v>
      </c>
      <c r="U160" s="73">
        <f>IF(INPUT!$H$14="Grad",LOOKUP(U$154,'Intermediate-Calculations'!$B$16:$L$16,'Intermediate-Calculations'!$B$17:$L$17),LOOKUP(U159,'Intermediate-Calculations'!$B$21:$L$21,'Intermediate-Calculations'!$B$22:$L$22))</f>
        <v>41994.751730872493</v>
      </c>
      <c r="V160" s="73">
        <f>IF(INPUT!$H$14="Grad",LOOKUP(V$154,'Intermediate-Calculations'!$B$16:$L$16,'Intermediate-Calculations'!$B$17:$L$17),LOOKUP(V159,'Intermediate-Calculations'!$B$21:$L$21,'Intermediate-Calculations'!$B$22:$L$22))</f>
        <v>41994.751730872493</v>
      </c>
    </row>
    <row r="161" spans="1:22" x14ac:dyDescent="0.25">
      <c r="C161" s="222" t="s">
        <v>184</v>
      </c>
      <c r="E161" s="229">
        <f>+E153*Assumptions!$B41</f>
        <v>0</v>
      </c>
      <c r="F161" s="229">
        <f>+F153*Assumptions!$B41</f>
        <v>0</v>
      </c>
      <c r="G161" s="229">
        <f>+G153*Assumptions!$B41</f>
        <v>0</v>
      </c>
      <c r="H161" s="229">
        <f>+H153*Assumptions!$B41</f>
        <v>0</v>
      </c>
      <c r="I161" s="229">
        <f>+I153*Assumptions!$B41</f>
        <v>0</v>
      </c>
      <c r="J161" s="229">
        <f>+J153*Assumptions!$B41</f>
        <v>0</v>
      </c>
      <c r="K161" s="229">
        <f>+K153*Assumptions!$B41</f>
        <v>0</v>
      </c>
      <c r="L161" s="229">
        <f>+L153*Assumptions!$B41</f>
        <v>0</v>
      </c>
      <c r="M161" s="229">
        <f>+M153*Assumptions!$B41</f>
        <v>0</v>
      </c>
      <c r="N161" s="229">
        <f>+N153*Assumptions!$B41</f>
        <v>0</v>
      </c>
      <c r="P161" s="1"/>
      <c r="R161" s="1"/>
      <c r="S161" s="1"/>
      <c r="T161" s="76"/>
      <c r="U161" s="76"/>
      <c r="V161" s="76"/>
    </row>
    <row r="162" spans="1:22" x14ac:dyDescent="0.25">
      <c r="C162" s="222" t="s">
        <v>185</v>
      </c>
      <c r="E162" s="230">
        <f ca="1">+E154*Assumptions!$B41</f>
        <v>0</v>
      </c>
      <c r="F162" s="230">
        <f>+F154*Assumptions!$B41</f>
        <v>0</v>
      </c>
      <c r="G162" s="230">
        <f>+G154*Assumptions!$B41</f>
        <v>0</v>
      </c>
      <c r="H162" s="230">
        <f>+H154*Assumptions!$B41</f>
        <v>0</v>
      </c>
      <c r="I162" s="230">
        <f>+I154*Assumptions!$B41</f>
        <v>0</v>
      </c>
      <c r="J162" s="230">
        <f>+J154*Assumptions!$B41</f>
        <v>0</v>
      </c>
      <c r="K162" s="230">
        <f>+K154*Assumptions!$B41</f>
        <v>0</v>
      </c>
      <c r="L162" s="230">
        <f>+L154*Assumptions!$B41</f>
        <v>0</v>
      </c>
      <c r="M162" s="230">
        <f>+M154*Assumptions!$B41</f>
        <v>0</v>
      </c>
      <c r="N162" s="230">
        <f>+N154*Assumptions!$B41</f>
        <v>0</v>
      </c>
      <c r="P162" s="1" t="s">
        <v>80</v>
      </c>
      <c r="R162" s="93">
        <f t="shared" ref="R162:V163" si="34">R159</f>
        <v>2019</v>
      </c>
      <c r="S162" s="93">
        <f t="shared" si="34"/>
        <v>2020</v>
      </c>
      <c r="T162" s="93">
        <f t="shared" si="34"/>
        <v>2021</v>
      </c>
      <c r="U162" s="93">
        <f t="shared" si="34"/>
        <v>2022</v>
      </c>
      <c r="V162" s="93">
        <f t="shared" si="34"/>
        <v>2023</v>
      </c>
    </row>
    <row r="163" spans="1:22" x14ac:dyDescent="0.25">
      <c r="E163" s="231">
        <f t="shared" ref="E163:N163" ca="1" si="35">SUM(E159:E162)</f>
        <v>0</v>
      </c>
      <c r="F163" s="231">
        <f t="shared" ca="1" si="35"/>
        <v>0</v>
      </c>
      <c r="G163" s="231">
        <f t="shared" ca="1" si="35"/>
        <v>0</v>
      </c>
      <c r="H163" s="231">
        <f t="shared" ca="1" si="35"/>
        <v>0</v>
      </c>
      <c r="I163" s="231">
        <f t="shared" ca="1" si="35"/>
        <v>0</v>
      </c>
      <c r="J163" s="231">
        <f t="shared" ca="1" si="35"/>
        <v>0</v>
      </c>
      <c r="K163" s="231">
        <f t="shared" ca="1" si="35"/>
        <v>0</v>
      </c>
      <c r="L163" s="231">
        <f t="shared" ca="1" si="35"/>
        <v>0</v>
      </c>
      <c r="M163" s="231">
        <f t="shared" ca="1" si="35"/>
        <v>0</v>
      </c>
      <c r="N163" s="231">
        <f t="shared" ca="1" si="35"/>
        <v>0</v>
      </c>
      <c r="R163" s="4">
        <f t="shared" si="34"/>
        <v>40574.639353499995</v>
      </c>
      <c r="S163" s="4">
        <f t="shared" si="34"/>
        <v>41994.751730872493</v>
      </c>
      <c r="T163" s="111">
        <f t="shared" si="34"/>
        <v>41994.751730872493</v>
      </c>
      <c r="U163" s="111">
        <f t="shared" si="34"/>
        <v>41994.751730872493</v>
      </c>
      <c r="V163" s="111">
        <f t="shared" si="34"/>
        <v>41994.751730872493</v>
      </c>
    </row>
    <row r="165" spans="1:22" x14ac:dyDescent="0.25">
      <c r="A165" s="163" t="s">
        <v>133</v>
      </c>
    </row>
    <row r="166" spans="1:22" x14ac:dyDescent="0.25">
      <c r="G166" s="415"/>
    </row>
    <row r="199" spans="3:22" x14ac:dyDescent="0.25">
      <c r="C199" s="228"/>
      <c r="D199" s="199"/>
      <c r="E199" s="199"/>
      <c r="F199" s="199"/>
      <c r="G199" s="199"/>
      <c r="H199" s="199"/>
      <c r="I199" s="199"/>
      <c r="J199" s="199"/>
      <c r="K199" s="199"/>
      <c r="L199" s="199"/>
      <c r="M199" s="199"/>
      <c r="N199" s="199"/>
      <c r="O199" s="199"/>
      <c r="P199" s="199"/>
      <c r="Q199" s="199"/>
      <c r="S199"/>
      <c r="T199"/>
      <c r="U199"/>
      <c r="V199"/>
    </row>
    <row r="200" spans="3:22" x14ac:dyDescent="0.25">
      <c r="Q200" s="199"/>
      <c r="S200"/>
      <c r="T200"/>
      <c r="U200"/>
      <c r="V200"/>
    </row>
    <row r="201" spans="3:22" x14ac:dyDescent="0.25">
      <c r="S201"/>
      <c r="T201"/>
      <c r="U201"/>
      <c r="V201"/>
    </row>
  </sheetData>
  <sheetProtection algorithmName="SHA-512" hashValue="pnRGcGVaLSusg4F4o7PdNAVTdLETtGRdr9PoFE2mMW7AOM2Bj1ymwh0NVjT/GNs4Zf3KCqeG5wcLlFvg191xzQ==" saltValue="vhLXj/ToeG906z0Xn+0POw==" spinCount="100000" sheet="1" objects="1" scenarios="1"/>
  <mergeCells count="1">
    <mergeCell ref="A11:R11"/>
  </mergeCells>
  <conditionalFormatting sqref="F64:N64">
    <cfRule type="cellIs" dxfId="0" priority="1" operator="equal">
      <formula>"OK"</formula>
    </cfRule>
  </conditionalFormatting>
  <pageMargins left="0.7" right="0.7" top="0.25" bottom="0.25" header="0.3" footer="0.3"/>
  <pageSetup paperSize="17" scale="41" orientation="portrait" r:id="rId1"/>
  <headerFooter>
    <oddFooter>&amp;C&amp;A&amp;R&amp;F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63"/>
  <sheetViews>
    <sheetView topLeftCell="A5" workbookViewId="0">
      <selection activeCell="D26" sqref="D26"/>
    </sheetView>
  </sheetViews>
  <sheetFormatPr defaultRowHeight="12.75" x14ac:dyDescent="0.2"/>
  <cols>
    <col min="1" max="1" width="55.42578125" style="1" customWidth="1"/>
    <col min="2" max="2" width="18.5703125" style="1" customWidth="1"/>
    <col min="3" max="7" width="15.7109375" style="1" customWidth="1"/>
    <col min="8" max="11" width="12.7109375" style="1" customWidth="1"/>
    <col min="12" max="12" width="12.140625" style="1" customWidth="1"/>
    <col min="13" max="13" width="12.85546875" style="1" bestFit="1" customWidth="1"/>
    <col min="14" max="16384" width="9.140625" style="1"/>
  </cols>
  <sheetData>
    <row r="1" spans="1:14" ht="15" customHeight="1" x14ac:dyDescent="0.2">
      <c r="A1" s="98"/>
      <c r="B1" s="98"/>
      <c r="C1" s="98"/>
      <c r="D1" s="98"/>
      <c r="E1" s="98"/>
      <c r="F1" s="98"/>
      <c r="G1" s="98"/>
      <c r="H1" s="98"/>
    </row>
    <row r="2" spans="1:14" ht="18" customHeight="1" x14ac:dyDescent="0.25">
      <c r="A2" s="480" t="s">
        <v>68</v>
      </c>
      <c r="B2" s="480"/>
      <c r="C2" s="480"/>
      <c r="D2" s="480"/>
      <c r="E2" s="480"/>
      <c r="F2" s="480"/>
      <c r="G2" s="480"/>
      <c r="H2" s="480"/>
    </row>
    <row r="4" spans="1:14" x14ac:dyDescent="0.2">
      <c r="A4" s="62"/>
      <c r="B4" s="36" t="s">
        <v>38</v>
      </c>
    </row>
    <row r="6" spans="1:14" ht="15" x14ac:dyDescent="0.25">
      <c r="A6" s="1" t="s">
        <v>108</v>
      </c>
      <c r="B6" s="117">
        <f>+INPUT!E6-1</f>
        <v>2018</v>
      </c>
      <c r="C6" s="54">
        <f>+B6+1</f>
        <v>2019</v>
      </c>
      <c r="D6" s="54">
        <f t="shared" ref="D6:J6" si="0">IF(C6="Enter Yr","Year 2",C6+1)</f>
        <v>2020</v>
      </c>
      <c r="E6" s="54">
        <f t="shared" si="0"/>
        <v>2021</v>
      </c>
      <c r="F6" s="54">
        <f t="shared" si="0"/>
        <v>2022</v>
      </c>
      <c r="G6" s="54">
        <f t="shared" si="0"/>
        <v>2023</v>
      </c>
      <c r="H6" s="54">
        <f t="shared" si="0"/>
        <v>2024</v>
      </c>
      <c r="I6" s="54">
        <f t="shared" si="0"/>
        <v>2025</v>
      </c>
      <c r="J6" s="54">
        <f t="shared" si="0"/>
        <v>2026</v>
      </c>
    </row>
    <row r="7" spans="1:14" ht="15" x14ac:dyDescent="0.25">
      <c r="A7" s="1" t="s">
        <v>23</v>
      </c>
      <c r="B7" s="113">
        <v>3.5000000000000003E-2</v>
      </c>
      <c r="C7" s="113">
        <v>3.5000000000000003E-2</v>
      </c>
      <c r="D7" s="113">
        <v>3.5000000000000003E-2</v>
      </c>
      <c r="E7" s="113">
        <v>3.5000000000000003E-2</v>
      </c>
      <c r="F7" s="113">
        <v>3.5000000000000003E-2</v>
      </c>
      <c r="G7" s="113">
        <v>3.5000000000000003E-2</v>
      </c>
      <c r="H7" s="113">
        <v>3.5000000000000003E-2</v>
      </c>
      <c r="I7" s="113">
        <v>3.5000000000000003E-2</v>
      </c>
      <c r="J7" s="113">
        <v>3.5000000000000003E-2</v>
      </c>
    </row>
    <row r="9" spans="1:14" ht="15" x14ac:dyDescent="0.25">
      <c r="A9" s="1" t="s">
        <v>108</v>
      </c>
      <c r="B9" s="117">
        <f>+B6</f>
        <v>2018</v>
      </c>
      <c r="C9" s="54">
        <f t="shared" ref="C9:J9" si="1">IF(B9="Enter Yr","Year 2",B9+1)</f>
        <v>2019</v>
      </c>
      <c r="D9" s="54">
        <f t="shared" si="1"/>
        <v>2020</v>
      </c>
      <c r="E9" s="54">
        <f t="shared" si="1"/>
        <v>2021</v>
      </c>
      <c r="F9" s="54">
        <f t="shared" si="1"/>
        <v>2022</v>
      </c>
      <c r="G9" s="54">
        <f t="shared" si="1"/>
        <v>2023</v>
      </c>
      <c r="H9" s="54">
        <f t="shared" si="1"/>
        <v>2024</v>
      </c>
      <c r="I9" s="54">
        <f t="shared" si="1"/>
        <v>2025</v>
      </c>
      <c r="J9" s="54">
        <f t="shared" si="1"/>
        <v>2026</v>
      </c>
    </row>
    <row r="10" spans="1:14" ht="15" x14ac:dyDescent="0.25">
      <c r="A10" s="1" t="s">
        <v>22</v>
      </c>
      <c r="B10" s="142">
        <v>0.02</v>
      </c>
      <c r="C10" s="142">
        <f t="shared" ref="C10:J10" si="2">+Expense_increase</f>
        <v>0.02</v>
      </c>
      <c r="D10" s="142">
        <f t="shared" si="2"/>
        <v>0.02</v>
      </c>
      <c r="E10" s="142">
        <f t="shared" si="2"/>
        <v>0.02</v>
      </c>
      <c r="F10" s="142">
        <f t="shared" si="2"/>
        <v>0.02</v>
      </c>
      <c r="G10" s="142">
        <f t="shared" si="2"/>
        <v>0.02</v>
      </c>
      <c r="H10" s="142">
        <f t="shared" si="2"/>
        <v>0.02</v>
      </c>
      <c r="I10" s="142">
        <f t="shared" si="2"/>
        <v>0.02</v>
      </c>
      <c r="J10" s="142">
        <f t="shared" si="2"/>
        <v>0.02</v>
      </c>
      <c r="K10" s="119"/>
      <c r="L10" s="119"/>
    </row>
    <row r="11" spans="1:14" x14ac:dyDescent="0.2">
      <c r="B11" s="20"/>
      <c r="C11" s="20"/>
      <c r="D11" s="20"/>
      <c r="E11" s="20"/>
      <c r="F11" s="20"/>
      <c r="M11" s="118"/>
    </row>
    <row r="12" spans="1:14" ht="15" hidden="1" x14ac:dyDescent="0.25">
      <c r="A12" s="1" t="s">
        <v>108</v>
      </c>
      <c r="B12" s="117">
        <f>+B9</f>
        <v>2018</v>
      </c>
      <c r="C12" s="54">
        <f>IF(B12="Enter Yr","Year 2",B12+1)</f>
        <v>2019</v>
      </c>
      <c r="D12" s="54">
        <f>IF(C12="Enter Yr","Year 2",C12+1)</f>
        <v>2020</v>
      </c>
      <c r="E12" s="54">
        <f>IF(D12="Enter Yr","Year 2",D12+1)</f>
        <v>2021</v>
      </c>
      <c r="F12" s="54">
        <f>IF(E12="Enter Yr","Year 2",E12+1)</f>
        <v>2022</v>
      </c>
      <c r="G12" s="54">
        <f>IF(F12="Enter Yr","Year 2",F12+1)</f>
        <v>2023</v>
      </c>
    </row>
    <row r="13" spans="1:14" hidden="1" x14ac:dyDescent="0.2">
      <c r="A13" s="1" t="s">
        <v>44</v>
      </c>
      <c r="B13" s="60">
        <v>1</v>
      </c>
      <c r="C13" s="60">
        <v>0.99</v>
      </c>
      <c r="D13" s="60">
        <v>0.98</v>
      </c>
      <c r="E13" s="60">
        <v>0.97</v>
      </c>
      <c r="F13" s="60">
        <v>0.96</v>
      </c>
      <c r="G13" s="60">
        <v>0.95</v>
      </c>
    </row>
    <row r="14" spans="1:14" hidden="1" x14ac:dyDescent="0.2"/>
    <row r="15" spans="1:14" ht="15" x14ac:dyDescent="0.25">
      <c r="A15" s="1" t="s">
        <v>108</v>
      </c>
      <c r="B15" s="117">
        <f>+B12</f>
        <v>2018</v>
      </c>
      <c r="C15" s="54">
        <f t="shared" ref="C15:J15" si="3">IF(B15="Enter Yr","Year 2",B15+1)</f>
        <v>2019</v>
      </c>
      <c r="D15" s="54">
        <f t="shared" si="3"/>
        <v>2020</v>
      </c>
      <c r="E15" s="54">
        <f t="shared" si="3"/>
        <v>2021</v>
      </c>
      <c r="F15" s="54">
        <f t="shared" si="3"/>
        <v>2022</v>
      </c>
      <c r="G15" s="54">
        <f t="shared" si="3"/>
        <v>2023</v>
      </c>
      <c r="H15" s="54">
        <f t="shared" si="3"/>
        <v>2024</v>
      </c>
      <c r="I15" s="54">
        <f t="shared" si="3"/>
        <v>2025</v>
      </c>
      <c r="J15" s="54">
        <f t="shared" si="3"/>
        <v>2026</v>
      </c>
    </row>
    <row r="16" spans="1:14" x14ac:dyDescent="0.2">
      <c r="A16" s="1" t="s">
        <v>92</v>
      </c>
      <c r="B16" s="115">
        <f>124.5</f>
        <v>124.5</v>
      </c>
      <c r="C16" s="423">
        <f t="shared" ref="C16:J16" si="4">+B16*(1+C10)</f>
        <v>126.99000000000001</v>
      </c>
      <c r="D16" s="423">
        <f t="shared" si="4"/>
        <v>129.52980000000002</v>
      </c>
      <c r="E16" s="423">
        <f t="shared" si="4"/>
        <v>132.12039600000003</v>
      </c>
      <c r="F16" s="423">
        <f t="shared" si="4"/>
        <v>134.76280392000004</v>
      </c>
      <c r="G16" s="423">
        <f t="shared" si="4"/>
        <v>137.45805999840005</v>
      </c>
      <c r="H16" s="423">
        <f t="shared" si="4"/>
        <v>140.20722119836805</v>
      </c>
      <c r="I16" s="423">
        <f t="shared" si="4"/>
        <v>143.0113656223354</v>
      </c>
      <c r="J16" s="423">
        <f t="shared" si="4"/>
        <v>145.87159293478211</v>
      </c>
      <c r="L16" s="154"/>
      <c r="M16" s="154"/>
      <c r="N16" s="154"/>
    </row>
    <row r="17" spans="1:14" x14ac:dyDescent="0.2">
      <c r="L17" s="154"/>
      <c r="M17" s="154"/>
      <c r="N17" s="154"/>
    </row>
    <row r="18" spans="1:14" x14ac:dyDescent="0.2">
      <c r="A18" s="485" t="s">
        <v>192</v>
      </c>
      <c r="B18" s="486"/>
      <c r="C18" s="486"/>
      <c r="D18" s="486"/>
      <c r="E18" s="486"/>
      <c r="F18" s="486"/>
      <c r="G18" s="486"/>
      <c r="H18" s="486"/>
      <c r="I18" s="486"/>
      <c r="J18" s="486"/>
      <c r="K18" s="486"/>
      <c r="L18" s="422"/>
      <c r="M18" s="417"/>
      <c r="N18" s="417"/>
    </row>
    <row r="19" spans="1:14" ht="15" x14ac:dyDescent="0.25">
      <c r="A19" s="1" t="s">
        <v>108</v>
      </c>
      <c r="B19" s="238">
        <v>2005</v>
      </c>
      <c r="C19" s="238">
        <v>2006</v>
      </c>
      <c r="D19" s="238">
        <v>2007</v>
      </c>
      <c r="E19" s="238">
        <v>2008</v>
      </c>
      <c r="F19" s="238">
        <v>2009</v>
      </c>
      <c r="G19" s="238">
        <v>2010</v>
      </c>
      <c r="H19" s="238">
        <v>2011</v>
      </c>
      <c r="I19" s="238">
        <v>2012</v>
      </c>
      <c r="J19" s="238">
        <v>2013</v>
      </c>
      <c r="K19" s="238">
        <v>2014</v>
      </c>
      <c r="L19" s="238">
        <v>2015</v>
      </c>
      <c r="M19" s="417"/>
      <c r="N19" s="417"/>
    </row>
    <row r="20" spans="1:14" x14ac:dyDescent="0.2">
      <c r="A20" s="1" t="s">
        <v>75</v>
      </c>
      <c r="B20" s="124">
        <f t="shared" ref="B20:H20" si="5">+C20/1.035</f>
        <v>27321.206480452474</v>
      </c>
      <c r="C20" s="124">
        <f t="shared" si="5"/>
        <v>28277.448707268308</v>
      </c>
      <c r="D20" s="124">
        <f t="shared" si="5"/>
        <v>29267.159412022695</v>
      </c>
      <c r="E20" s="124">
        <f t="shared" si="5"/>
        <v>30291.509991443487</v>
      </c>
      <c r="F20" s="124">
        <f t="shared" si="5"/>
        <v>31351.712841144006</v>
      </c>
      <c r="G20" s="124">
        <f t="shared" si="5"/>
        <v>32449.022790584044</v>
      </c>
      <c r="H20" s="124">
        <f t="shared" si="5"/>
        <v>33584.738588254484</v>
      </c>
      <c r="I20" s="53">
        <f>+J20/1.035</f>
        <v>34760.204438843386</v>
      </c>
      <c r="J20" s="53">
        <f>+K20/1.035</f>
        <v>35976.811594202904</v>
      </c>
      <c r="K20" s="73">
        <v>37236</v>
      </c>
      <c r="L20" s="73">
        <v>38688</v>
      </c>
      <c r="M20" s="417"/>
      <c r="N20" s="417"/>
    </row>
    <row r="21" spans="1:14" x14ac:dyDescent="0.2">
      <c r="A21" s="1" t="s">
        <v>77</v>
      </c>
      <c r="B21" s="124">
        <f t="shared" ref="B21:K21" si="6">+B20/2</f>
        <v>13660.603240226237</v>
      </c>
      <c r="C21" s="124">
        <f t="shared" si="6"/>
        <v>14138.724353634154</v>
      </c>
      <c r="D21" s="124">
        <f t="shared" si="6"/>
        <v>14633.579706011347</v>
      </c>
      <c r="E21" s="124">
        <f t="shared" si="6"/>
        <v>15145.754995721743</v>
      </c>
      <c r="F21" s="124">
        <f t="shared" si="6"/>
        <v>15675.856420572003</v>
      </c>
      <c r="G21" s="124">
        <f t="shared" si="6"/>
        <v>16224.511395292022</v>
      </c>
      <c r="H21" s="124">
        <f t="shared" si="6"/>
        <v>16792.369294127242</v>
      </c>
      <c r="I21" s="53">
        <f t="shared" si="6"/>
        <v>17380.102219421693</v>
      </c>
      <c r="J21" s="53">
        <f t="shared" si="6"/>
        <v>17988.405797101452</v>
      </c>
      <c r="K21" s="73">
        <f t="shared" si="6"/>
        <v>18618</v>
      </c>
      <c r="L21" s="73">
        <v>19344</v>
      </c>
      <c r="M21" s="109"/>
      <c r="N21" s="109"/>
    </row>
    <row r="22" spans="1:14" x14ac:dyDescent="0.2">
      <c r="A22" s="1" t="s">
        <v>76</v>
      </c>
      <c r="B22" s="124">
        <f t="shared" ref="B22:H22" si="7">+C22/1.035</f>
        <v>1138.7504688382812</v>
      </c>
      <c r="C22" s="124">
        <f t="shared" si="7"/>
        <v>1178.6067352476209</v>
      </c>
      <c r="D22" s="124">
        <f t="shared" si="7"/>
        <v>1219.8579709812875</v>
      </c>
      <c r="E22" s="124">
        <f t="shared" si="7"/>
        <v>1262.5529999656326</v>
      </c>
      <c r="F22" s="124">
        <f t="shared" si="7"/>
        <v>1306.7423549644295</v>
      </c>
      <c r="G22" s="124">
        <f t="shared" si="7"/>
        <v>1352.4783373881844</v>
      </c>
      <c r="H22" s="124">
        <f t="shared" si="7"/>
        <v>1399.8150791967707</v>
      </c>
      <c r="I22" s="53">
        <f>+J22/1.035</f>
        <v>1448.8086069686576</v>
      </c>
      <c r="J22" s="53">
        <f>+K22/1.035</f>
        <v>1499.5169082125606</v>
      </c>
      <c r="K22" s="73">
        <v>1552</v>
      </c>
      <c r="L22" s="73">
        <v>1612</v>
      </c>
      <c r="M22" s="109"/>
      <c r="N22" s="109"/>
    </row>
    <row r="24" spans="1:14" ht="15" x14ac:dyDescent="0.25">
      <c r="A24" s="1" t="s">
        <v>108</v>
      </c>
      <c r="B24" s="54">
        <v>2014</v>
      </c>
      <c r="C24" s="54">
        <f t="shared" ref="C24:L24" si="8">B24+1</f>
        <v>2015</v>
      </c>
      <c r="D24" s="54">
        <f t="shared" si="8"/>
        <v>2016</v>
      </c>
      <c r="E24" s="54">
        <f t="shared" si="8"/>
        <v>2017</v>
      </c>
      <c r="F24" s="54">
        <f t="shared" si="8"/>
        <v>2018</v>
      </c>
      <c r="G24" s="54">
        <f t="shared" si="8"/>
        <v>2019</v>
      </c>
      <c r="H24" s="54">
        <f t="shared" si="8"/>
        <v>2020</v>
      </c>
      <c r="I24" s="54">
        <f t="shared" si="8"/>
        <v>2021</v>
      </c>
      <c r="J24" s="54">
        <f t="shared" si="8"/>
        <v>2022</v>
      </c>
      <c r="K24" s="54">
        <f t="shared" si="8"/>
        <v>2023</v>
      </c>
      <c r="L24" s="54">
        <f t="shared" si="8"/>
        <v>2024</v>
      </c>
    </row>
    <row r="25" spans="1:14" x14ac:dyDescent="0.2">
      <c r="A25" s="1" t="s">
        <v>46</v>
      </c>
      <c r="B25" s="57">
        <f>18618*2</f>
        <v>37236</v>
      </c>
      <c r="C25" s="57">
        <f>+L21*2</f>
        <v>38688</v>
      </c>
      <c r="D25" s="52">
        <v>40158</v>
      </c>
      <c r="E25" s="52">
        <f>D25*(1+$E$7)</f>
        <v>41563.53</v>
      </c>
      <c r="F25" s="52">
        <f t="shared" ref="F25:L25" si="9">E25*(1+$F$7)</f>
        <v>43018.253549999994</v>
      </c>
      <c r="G25" s="52">
        <f t="shared" si="9"/>
        <v>44523.892424249992</v>
      </c>
      <c r="H25" s="52">
        <f t="shared" si="9"/>
        <v>46082.228659098735</v>
      </c>
      <c r="I25" s="52">
        <f t="shared" si="9"/>
        <v>47695.106662167185</v>
      </c>
      <c r="J25" s="52">
        <f t="shared" si="9"/>
        <v>49364.435395343033</v>
      </c>
      <c r="K25" s="52">
        <f t="shared" si="9"/>
        <v>51092.190634180035</v>
      </c>
      <c r="L25" s="52">
        <f t="shared" si="9"/>
        <v>52880.41730637633</v>
      </c>
      <c r="M25" s="416"/>
      <c r="N25" s="416"/>
    </row>
    <row r="26" spans="1:14" x14ac:dyDescent="0.2">
      <c r="A26" s="1" t="s">
        <v>45</v>
      </c>
      <c r="B26" s="57">
        <v>1552</v>
      </c>
      <c r="C26" s="57">
        <f>+L22</f>
        <v>1612</v>
      </c>
      <c r="D26" s="52">
        <v>1673</v>
      </c>
      <c r="E26" s="52">
        <f>D26*(1+E7)</f>
        <v>1731.5549999999998</v>
      </c>
      <c r="F26" s="52">
        <f t="shared" ref="F26:L26" si="10">E26*(1+B7)</f>
        <v>1792.1594249999996</v>
      </c>
      <c r="G26" s="52">
        <f t="shared" si="10"/>
        <v>1854.8850048749994</v>
      </c>
      <c r="H26" s="52">
        <f t="shared" si="10"/>
        <v>1919.8059800456242</v>
      </c>
      <c r="I26" s="52">
        <f t="shared" si="10"/>
        <v>1986.9991893472209</v>
      </c>
      <c r="J26" s="52">
        <f t="shared" si="10"/>
        <v>2056.5441609743734</v>
      </c>
      <c r="K26" s="52">
        <f t="shared" si="10"/>
        <v>2128.5232066084764</v>
      </c>
      <c r="L26" s="52">
        <f t="shared" si="10"/>
        <v>2203.0215188397729</v>
      </c>
      <c r="M26" s="416"/>
      <c r="N26" s="416"/>
    </row>
    <row r="27" spans="1:14" x14ac:dyDescent="0.2">
      <c r="B27" s="9"/>
      <c r="C27" s="9"/>
      <c r="D27" s="438"/>
      <c r="E27" s="9"/>
      <c r="F27" s="9"/>
      <c r="L27" s="154"/>
      <c r="M27" s="154"/>
      <c r="N27" s="154"/>
    </row>
    <row r="28" spans="1:14" s="154" customFormat="1" x14ac:dyDescent="0.2">
      <c r="A28" s="485" t="s">
        <v>196</v>
      </c>
      <c r="B28" s="486"/>
      <c r="C28" s="486"/>
      <c r="D28" s="486"/>
      <c r="E28" s="486"/>
      <c r="F28" s="486"/>
      <c r="G28" s="486"/>
      <c r="H28" s="486"/>
      <c r="I28" s="486"/>
      <c r="J28" s="486"/>
      <c r="K28" s="487"/>
      <c r="L28" s="422"/>
      <c r="M28" s="417"/>
      <c r="N28" s="417"/>
    </row>
    <row r="29" spans="1:14" s="154" customFormat="1" ht="15" x14ac:dyDescent="0.25">
      <c r="A29" s="154" t="s">
        <v>108</v>
      </c>
      <c r="B29" s="238">
        <v>2005</v>
      </c>
      <c r="C29" s="238">
        <v>2006</v>
      </c>
      <c r="D29" s="238">
        <v>2007</v>
      </c>
      <c r="E29" s="238">
        <v>2008</v>
      </c>
      <c r="F29" s="238">
        <v>2009</v>
      </c>
      <c r="G29" s="238">
        <v>2010</v>
      </c>
      <c r="H29" s="238">
        <v>2011</v>
      </c>
      <c r="I29" s="238">
        <v>2012</v>
      </c>
      <c r="J29" s="238">
        <v>2013</v>
      </c>
      <c r="K29" s="238">
        <v>2014</v>
      </c>
      <c r="L29" s="238">
        <v>2015</v>
      </c>
      <c r="M29" s="417"/>
      <c r="N29" s="417"/>
    </row>
    <row r="30" spans="1:14" s="154" customFormat="1" x14ac:dyDescent="0.2">
      <c r="A30" s="154" t="s">
        <v>75</v>
      </c>
      <c r="B30" s="170">
        <f t="shared" ref="B30:J30" si="11">+C30/1.035</f>
        <v>24896.95934833799</v>
      </c>
      <c r="C30" s="170">
        <f t="shared" si="11"/>
        <v>25768.352925529816</v>
      </c>
      <c r="D30" s="170">
        <f t="shared" si="11"/>
        <v>26670.245277923357</v>
      </c>
      <c r="E30" s="170">
        <f t="shared" si="11"/>
        <v>27603.703862650673</v>
      </c>
      <c r="F30" s="170">
        <f t="shared" si="11"/>
        <v>28569.833497843443</v>
      </c>
      <c r="G30" s="170">
        <f t="shared" si="11"/>
        <v>29569.777670267962</v>
      </c>
      <c r="H30" s="170">
        <f t="shared" si="11"/>
        <v>30604.719888727337</v>
      </c>
      <c r="I30" s="53">
        <f t="shared" si="11"/>
        <v>31675.885084832793</v>
      </c>
      <c r="J30" s="53">
        <f t="shared" si="11"/>
        <v>32784.541062801938</v>
      </c>
      <c r="K30" s="73">
        <v>33932</v>
      </c>
      <c r="L30" s="73">
        <v>35256</v>
      </c>
      <c r="M30" s="417"/>
      <c r="N30" s="417"/>
    </row>
    <row r="31" spans="1:14" s="154" customFormat="1" x14ac:dyDescent="0.2">
      <c r="A31" s="154" t="s">
        <v>77</v>
      </c>
      <c r="B31" s="170">
        <f t="shared" ref="B31:J31" si="12">+B30/2</f>
        <v>12448.479674168995</v>
      </c>
      <c r="C31" s="170">
        <f t="shared" si="12"/>
        <v>12884.176462764908</v>
      </c>
      <c r="D31" s="170">
        <f t="shared" si="12"/>
        <v>13335.122638961679</v>
      </c>
      <c r="E31" s="170">
        <f t="shared" si="12"/>
        <v>13801.851931325336</v>
      </c>
      <c r="F31" s="170">
        <f t="shared" si="12"/>
        <v>14284.916748921722</v>
      </c>
      <c r="G31" s="170">
        <f t="shared" si="12"/>
        <v>14784.888835133981</v>
      </c>
      <c r="H31" s="170">
        <f t="shared" si="12"/>
        <v>15302.359944363669</v>
      </c>
      <c r="I31" s="53">
        <f t="shared" si="12"/>
        <v>15837.942542416396</v>
      </c>
      <c r="J31" s="53">
        <f t="shared" si="12"/>
        <v>16392.270531400969</v>
      </c>
      <c r="K31" s="73">
        <f>+K30/2</f>
        <v>16966</v>
      </c>
      <c r="L31" s="73">
        <v>17628</v>
      </c>
      <c r="M31" s="417"/>
      <c r="N31" s="417"/>
    </row>
    <row r="32" spans="1:14" s="154" customFormat="1" x14ac:dyDescent="0.2">
      <c r="A32" s="154" t="s">
        <v>76</v>
      </c>
      <c r="B32" s="170">
        <f t="shared" ref="B32:J32" si="13">+C32/1.035</f>
        <v>873.87358787783012</v>
      </c>
      <c r="C32" s="170">
        <f t="shared" si="13"/>
        <v>904.45916345355408</v>
      </c>
      <c r="D32" s="170">
        <f t="shared" si="13"/>
        <v>936.11523417442845</v>
      </c>
      <c r="E32" s="170">
        <f t="shared" si="13"/>
        <v>968.8792673705334</v>
      </c>
      <c r="F32" s="170">
        <f t="shared" si="13"/>
        <v>1002.790041728502</v>
      </c>
      <c r="G32" s="170">
        <f t="shared" si="13"/>
        <v>1037.8876931889995</v>
      </c>
      <c r="H32" s="170">
        <f t="shared" si="13"/>
        <v>1074.2137624506145</v>
      </c>
      <c r="I32" s="53">
        <f t="shared" si="13"/>
        <v>1111.811244136386</v>
      </c>
      <c r="J32" s="53">
        <f t="shared" si="13"/>
        <v>1150.7246376811595</v>
      </c>
      <c r="K32" s="73">
        <v>1191</v>
      </c>
      <c r="L32" s="73">
        <v>1259</v>
      </c>
      <c r="M32" s="182"/>
      <c r="N32" s="182"/>
    </row>
    <row r="33" spans="1:14" s="154" customFormat="1" x14ac:dyDescent="0.2"/>
    <row r="34" spans="1:14" s="154" customFormat="1" ht="15" x14ac:dyDescent="0.25">
      <c r="A34" s="154" t="s">
        <v>108</v>
      </c>
      <c r="B34" s="54">
        <v>2014</v>
      </c>
      <c r="C34" s="54">
        <f t="shared" ref="C34:L34" si="14">B34+1</f>
        <v>2015</v>
      </c>
      <c r="D34" s="54">
        <f t="shared" si="14"/>
        <v>2016</v>
      </c>
      <c r="E34" s="54">
        <f t="shared" si="14"/>
        <v>2017</v>
      </c>
      <c r="F34" s="54">
        <f t="shared" si="14"/>
        <v>2018</v>
      </c>
      <c r="G34" s="54">
        <f t="shared" si="14"/>
        <v>2019</v>
      </c>
      <c r="H34" s="54">
        <f t="shared" si="14"/>
        <v>2020</v>
      </c>
      <c r="I34" s="54">
        <f t="shared" si="14"/>
        <v>2021</v>
      </c>
      <c r="J34" s="54">
        <f t="shared" si="14"/>
        <v>2022</v>
      </c>
      <c r="K34" s="54">
        <f t="shared" si="14"/>
        <v>2023</v>
      </c>
      <c r="L34" s="54">
        <f t="shared" si="14"/>
        <v>2024</v>
      </c>
    </row>
    <row r="35" spans="1:14" s="154" customFormat="1" x14ac:dyDescent="0.2">
      <c r="A35" s="154" t="s">
        <v>46</v>
      </c>
      <c r="B35" s="57">
        <f>16966*2</f>
        <v>33932</v>
      </c>
      <c r="C35" s="57">
        <f>+L31*2</f>
        <v>35256</v>
      </c>
      <c r="D35" s="52">
        <v>36596</v>
      </c>
      <c r="E35" s="52">
        <f>D35*(1+$E$7)</f>
        <v>37876.86</v>
      </c>
      <c r="F35" s="52">
        <f t="shared" ref="F35:L35" si="15">E35*(1+$F$7)</f>
        <v>39202.5501</v>
      </c>
      <c r="G35" s="52">
        <f t="shared" si="15"/>
        <v>40574.639353499995</v>
      </c>
      <c r="H35" s="52">
        <f t="shared" si="15"/>
        <v>41994.751730872493</v>
      </c>
      <c r="I35" s="52">
        <f t="shared" si="15"/>
        <v>43464.568041453029</v>
      </c>
      <c r="J35" s="52">
        <f t="shared" si="15"/>
        <v>44985.827922903882</v>
      </c>
      <c r="K35" s="52">
        <f t="shared" si="15"/>
        <v>46560.331900205514</v>
      </c>
      <c r="L35" s="52">
        <f t="shared" si="15"/>
        <v>48189.943516712701</v>
      </c>
      <c r="M35" s="416"/>
      <c r="N35" s="416"/>
    </row>
    <row r="36" spans="1:14" s="154" customFormat="1" x14ac:dyDescent="0.2">
      <c r="A36" s="154" t="s">
        <v>45</v>
      </c>
      <c r="B36" s="57">
        <v>1191</v>
      </c>
      <c r="C36" s="57">
        <f>+L32</f>
        <v>1259</v>
      </c>
      <c r="D36" s="52">
        <v>1331</v>
      </c>
      <c r="E36" s="52">
        <f>D36*(1+E7)</f>
        <v>1377.5849999999998</v>
      </c>
      <c r="F36" s="52">
        <f>E36*(1+F7)</f>
        <v>1425.8004749999998</v>
      </c>
      <c r="G36" s="52">
        <f t="shared" ref="G36:L36" si="16">F36*(1+C7)</f>
        <v>1475.7034916249997</v>
      </c>
      <c r="H36" s="52">
        <f t="shared" si="16"/>
        <v>1527.3531138318747</v>
      </c>
      <c r="I36" s="52">
        <f t="shared" si="16"/>
        <v>1580.8104728159901</v>
      </c>
      <c r="J36" s="52">
        <f t="shared" si="16"/>
        <v>1636.1388393645495</v>
      </c>
      <c r="K36" s="52">
        <f t="shared" si="16"/>
        <v>1693.4036987423087</v>
      </c>
      <c r="L36" s="52">
        <f t="shared" si="16"/>
        <v>1752.6728281982894</v>
      </c>
      <c r="M36" s="416"/>
      <c r="N36" s="416"/>
    </row>
    <row r="37" spans="1:14" x14ac:dyDescent="0.2">
      <c r="B37" s="9"/>
      <c r="C37" s="9"/>
      <c r="D37" s="9"/>
      <c r="E37" s="9"/>
      <c r="F37" s="9"/>
    </row>
    <row r="38" spans="1:14" s="154" customFormat="1" x14ac:dyDescent="0.2"/>
    <row r="39" spans="1:14" x14ac:dyDescent="0.2">
      <c r="A39" s="1" t="s">
        <v>24</v>
      </c>
      <c r="B39" s="33" t="s">
        <v>87</v>
      </c>
      <c r="C39" s="33" t="s">
        <v>86</v>
      </c>
      <c r="D39" s="33" t="s">
        <v>89</v>
      </c>
      <c r="E39" s="33" t="s">
        <v>88</v>
      </c>
      <c r="F39" s="33" t="s">
        <v>85</v>
      </c>
      <c r="G39" s="33" t="s">
        <v>84</v>
      </c>
      <c r="H39" s="33" t="s">
        <v>82</v>
      </c>
      <c r="I39" s="33" t="s">
        <v>107</v>
      </c>
      <c r="J39" s="33" t="s">
        <v>83</v>
      </c>
    </row>
    <row r="40" spans="1:14" s="154" customFormat="1" x14ac:dyDescent="0.2">
      <c r="A40" s="154" t="s">
        <v>191</v>
      </c>
      <c r="B40" s="114">
        <v>0.35</v>
      </c>
      <c r="C40" s="114">
        <v>0.35</v>
      </c>
      <c r="D40" s="114">
        <v>0.35</v>
      </c>
      <c r="E40" s="114">
        <v>0.35</v>
      </c>
      <c r="F40" s="114">
        <v>0.35</v>
      </c>
      <c r="G40" s="114">
        <v>0.35</v>
      </c>
      <c r="H40" s="114">
        <v>0.35</v>
      </c>
      <c r="I40" s="114">
        <v>0.35</v>
      </c>
      <c r="J40" s="114">
        <v>0.35</v>
      </c>
    </row>
    <row r="41" spans="1:14" ht="12" customHeight="1" x14ac:dyDescent="0.2">
      <c r="A41" s="1" t="s">
        <v>192</v>
      </c>
      <c r="B41" s="114">
        <v>0.25</v>
      </c>
      <c r="C41" s="114">
        <v>0.25</v>
      </c>
      <c r="D41" s="114">
        <v>0.25</v>
      </c>
      <c r="E41" s="114">
        <v>0.25</v>
      </c>
      <c r="F41" s="114">
        <v>0.25</v>
      </c>
      <c r="G41" s="114">
        <v>0.25</v>
      </c>
      <c r="H41" s="114">
        <v>0.25</v>
      </c>
      <c r="I41" s="114">
        <v>0.25</v>
      </c>
      <c r="J41" s="114">
        <v>0.25</v>
      </c>
    </row>
    <row r="42" spans="1:14" x14ac:dyDescent="0.2">
      <c r="B42" s="9"/>
      <c r="C42" s="9"/>
      <c r="D42" s="9"/>
      <c r="E42" s="9"/>
      <c r="F42" s="9"/>
      <c r="G42" s="9"/>
      <c r="H42" s="9"/>
      <c r="I42" s="9"/>
    </row>
    <row r="43" spans="1:14" hidden="1" x14ac:dyDescent="0.2">
      <c r="B43" s="9"/>
      <c r="C43" s="9"/>
      <c r="D43" s="9"/>
      <c r="E43" s="9"/>
      <c r="F43" s="9"/>
      <c r="G43" s="9"/>
      <c r="H43" s="9"/>
      <c r="I43" s="9"/>
    </row>
    <row r="44" spans="1:14" hidden="1" x14ac:dyDescent="0.2">
      <c r="A44" s="1" t="s">
        <v>28</v>
      </c>
      <c r="B44" s="33" t="s">
        <v>87</v>
      </c>
      <c r="C44" s="33" t="s">
        <v>86</v>
      </c>
      <c r="D44" s="33" t="s">
        <v>89</v>
      </c>
      <c r="E44" s="33" t="s">
        <v>88</v>
      </c>
      <c r="F44" s="33" t="s">
        <v>85</v>
      </c>
      <c r="G44" s="33" t="s">
        <v>84</v>
      </c>
      <c r="H44" s="33" t="s">
        <v>82</v>
      </c>
      <c r="I44" s="33" t="s">
        <v>107</v>
      </c>
      <c r="J44" s="33" t="s">
        <v>83</v>
      </c>
    </row>
    <row r="45" spans="1:14" hidden="1" x14ac:dyDescent="0.2">
      <c r="B45" s="61">
        <v>0</v>
      </c>
      <c r="C45" s="61">
        <v>0</v>
      </c>
      <c r="D45" s="61">
        <v>0</v>
      </c>
      <c r="E45" s="61">
        <v>0</v>
      </c>
      <c r="F45" s="61">
        <v>0</v>
      </c>
      <c r="G45" s="61">
        <v>0</v>
      </c>
      <c r="H45" s="61">
        <v>0</v>
      </c>
      <c r="I45" s="61">
        <v>0</v>
      </c>
      <c r="J45" s="61">
        <v>0</v>
      </c>
    </row>
    <row r="46" spans="1:14" hidden="1" x14ac:dyDescent="0.2">
      <c r="B46" s="32"/>
      <c r="C46" s="32"/>
      <c r="D46" s="32"/>
      <c r="E46" s="32"/>
      <c r="F46" s="32"/>
      <c r="G46" s="32"/>
    </row>
    <row r="47" spans="1:14" ht="12.75" customHeight="1" x14ac:dyDescent="0.2">
      <c r="B47" s="32"/>
      <c r="C47" s="32"/>
      <c r="D47" s="32"/>
      <c r="E47" s="32"/>
      <c r="F47" s="32"/>
      <c r="G47" s="32"/>
      <c r="K47" s="484"/>
      <c r="L47" s="484"/>
      <c r="M47" s="484"/>
    </row>
    <row r="48" spans="1:14" x14ac:dyDescent="0.2">
      <c r="B48" s="33" t="s">
        <v>87</v>
      </c>
      <c r="C48" s="33" t="s">
        <v>86</v>
      </c>
      <c r="D48" s="33" t="s">
        <v>89</v>
      </c>
      <c r="E48" s="33" t="s">
        <v>88</v>
      </c>
      <c r="F48" s="33" t="s">
        <v>85</v>
      </c>
      <c r="G48" s="33" t="s">
        <v>84</v>
      </c>
      <c r="H48" s="33" t="s">
        <v>82</v>
      </c>
      <c r="I48" s="33" t="s">
        <v>107</v>
      </c>
      <c r="J48" s="33" t="s">
        <v>83</v>
      </c>
    </row>
    <row r="49" spans="1:10" x14ac:dyDescent="0.2">
      <c r="A49" s="1" t="s">
        <v>93</v>
      </c>
      <c r="B49" s="115">
        <f>5*3</f>
        <v>15</v>
      </c>
      <c r="C49" s="115">
        <v>15</v>
      </c>
      <c r="D49" s="115">
        <f t="shared" ref="D49:J49" si="17">5*3</f>
        <v>15</v>
      </c>
      <c r="E49" s="115">
        <f t="shared" si="17"/>
        <v>15</v>
      </c>
      <c r="F49" s="115">
        <f t="shared" si="17"/>
        <v>15</v>
      </c>
      <c r="G49" s="115">
        <f t="shared" si="17"/>
        <v>15</v>
      </c>
      <c r="H49" s="115">
        <f t="shared" si="17"/>
        <v>15</v>
      </c>
      <c r="I49" s="115">
        <f t="shared" si="17"/>
        <v>15</v>
      </c>
      <c r="J49" s="115">
        <f t="shared" si="17"/>
        <v>15</v>
      </c>
    </row>
    <row r="50" spans="1:10" x14ac:dyDescent="0.2">
      <c r="B50" s="32"/>
      <c r="C50" s="32"/>
      <c r="D50" s="32"/>
      <c r="E50" s="32"/>
      <c r="F50" s="32"/>
      <c r="G50" s="32"/>
    </row>
    <row r="51" spans="1:10" x14ac:dyDescent="0.2">
      <c r="B51" s="143" t="s">
        <v>206</v>
      </c>
      <c r="C51" s="32"/>
      <c r="D51" s="32"/>
      <c r="E51" s="32"/>
      <c r="F51" s="32"/>
      <c r="G51" s="32"/>
    </row>
    <row r="52" spans="1:10" ht="12.75" customHeight="1" x14ac:dyDescent="0.2">
      <c r="A52" s="1" t="s">
        <v>131</v>
      </c>
      <c r="B52" s="61">
        <v>0.25</v>
      </c>
    </row>
    <row r="54" spans="1:10" ht="12.75" customHeight="1" x14ac:dyDescent="0.2">
      <c r="A54" s="1" t="s">
        <v>33</v>
      </c>
      <c r="B54" s="61">
        <v>0.38</v>
      </c>
    </row>
    <row r="55" spans="1:10" x14ac:dyDescent="0.2">
      <c r="A55" s="1" t="s">
        <v>34</v>
      </c>
      <c r="B55" s="61">
        <v>0.08</v>
      </c>
    </row>
    <row r="56" spans="1:10" ht="12.75" customHeight="1" x14ac:dyDescent="0.2"/>
    <row r="57" spans="1:10" ht="13.5" hidden="1" thickTop="1" x14ac:dyDescent="0.2">
      <c r="B57" s="481" t="s">
        <v>39</v>
      </c>
      <c r="C57" s="482"/>
      <c r="D57" s="483"/>
      <c r="E57" s="77"/>
    </row>
    <row r="58" spans="1:10" hidden="1" x14ac:dyDescent="0.2">
      <c r="B58" s="477" t="s">
        <v>37</v>
      </c>
      <c r="C58" s="478"/>
      <c r="D58" s="479"/>
      <c r="E58" s="77"/>
      <c r="F58" s="77"/>
      <c r="G58" s="77"/>
      <c r="H58" s="77"/>
      <c r="I58" s="77"/>
    </row>
    <row r="59" spans="1:10" hidden="1" x14ac:dyDescent="0.2">
      <c r="B59" s="89" t="s">
        <v>57</v>
      </c>
      <c r="C59" s="90" t="s">
        <v>59</v>
      </c>
      <c r="D59" s="87" t="s">
        <v>60</v>
      </c>
      <c r="E59" s="49"/>
      <c r="F59" s="13"/>
    </row>
    <row r="60" spans="1:10" ht="13.5" hidden="1" thickBot="1" x14ac:dyDescent="0.25">
      <c r="B60" s="85">
        <v>15</v>
      </c>
      <c r="C60" s="86">
        <v>20</v>
      </c>
      <c r="D60" s="91">
        <v>20</v>
      </c>
      <c r="E60" s="88"/>
      <c r="F60" s="47"/>
    </row>
    <row r="61" spans="1:10" ht="13.5" hidden="1" thickTop="1" x14ac:dyDescent="0.2">
      <c r="A61" s="1" t="s">
        <v>58</v>
      </c>
    </row>
    <row r="63" spans="1:10" ht="15.75" x14ac:dyDescent="0.25">
      <c r="A63" s="163" t="s">
        <v>133</v>
      </c>
    </row>
  </sheetData>
  <mergeCells count="6">
    <mergeCell ref="B58:D58"/>
    <mergeCell ref="A2:H2"/>
    <mergeCell ref="B57:D57"/>
    <mergeCell ref="K47:M47"/>
    <mergeCell ref="A28:K28"/>
    <mergeCell ref="A18:K18"/>
  </mergeCells>
  <pageMargins left="0.5" right="0.5" top="0.5" bottom="0.5" header="0.25" footer="0.25"/>
  <pageSetup scale="55" orientation="landscape" r:id="rId1"/>
  <headerFooter>
    <oddFooter>&amp;C&amp;"Calibri,Regular"&amp;8&amp;K04-023&amp;A&amp;R&amp;"Calibri,Regular"&amp;8&amp;K04-023&amp;F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2:O63"/>
  <sheetViews>
    <sheetView topLeftCell="A22" workbookViewId="0">
      <selection activeCell="G29" sqref="G29"/>
    </sheetView>
  </sheetViews>
  <sheetFormatPr defaultRowHeight="12.75" x14ac:dyDescent="0.2"/>
  <cols>
    <col min="1" max="1" width="32.5703125" style="1" customWidth="1"/>
    <col min="2" max="10" width="15.7109375" style="1" customWidth="1"/>
    <col min="11" max="11" width="12.7109375" style="1" customWidth="1"/>
    <col min="12" max="12" width="13.85546875" style="1" customWidth="1"/>
    <col min="13" max="13" width="11.85546875" style="1" customWidth="1"/>
    <col min="14" max="14" width="13.28515625" style="1" customWidth="1"/>
    <col min="15" max="15" width="14.5703125" style="1" customWidth="1"/>
    <col min="16" max="16384" width="9.140625" style="1"/>
  </cols>
  <sheetData>
    <row r="2" spans="1:15" ht="18" customHeight="1" x14ac:dyDescent="0.3">
      <c r="A2" s="475" t="s">
        <v>73</v>
      </c>
      <c r="B2" s="475"/>
      <c r="C2" s="475"/>
      <c r="D2" s="475"/>
      <c r="E2" s="475"/>
      <c r="F2" s="475"/>
      <c r="G2" s="475"/>
      <c r="H2" s="475"/>
      <c r="I2" s="475"/>
      <c r="J2" s="475"/>
      <c r="K2" s="475"/>
    </row>
    <row r="3" spans="1:15" x14ac:dyDescent="0.2">
      <c r="A3" s="63"/>
      <c r="B3" s="36" t="s">
        <v>50</v>
      </c>
      <c r="E3" s="41"/>
      <c r="F3" s="41"/>
      <c r="G3" s="41"/>
      <c r="H3" s="41"/>
      <c r="I3" s="41"/>
      <c r="J3" s="41"/>
      <c r="K3" s="41"/>
      <c r="L3" s="41"/>
    </row>
    <row r="4" spans="1:15" x14ac:dyDescent="0.2">
      <c r="A4" s="35"/>
      <c r="B4" s="36" t="s">
        <v>38</v>
      </c>
      <c r="D4" s="41"/>
      <c r="E4" s="41"/>
      <c r="F4" s="41"/>
      <c r="G4" s="41"/>
      <c r="H4" s="41"/>
      <c r="I4" s="41"/>
      <c r="J4" s="41"/>
      <c r="K4" s="41"/>
      <c r="L4" s="41"/>
    </row>
    <row r="5" spans="1:15" ht="13.5" thickBot="1" x14ac:dyDescent="0.25">
      <c r="A5" s="2"/>
      <c r="B5" s="36"/>
      <c r="D5" s="76"/>
      <c r="E5" s="76"/>
      <c r="F5" s="76"/>
      <c r="G5" s="76"/>
      <c r="H5" s="76"/>
      <c r="I5" s="76"/>
      <c r="J5" s="76"/>
      <c r="K5" s="76"/>
      <c r="L5" s="76"/>
    </row>
    <row r="6" spans="1:15" ht="13.5" thickTop="1" x14ac:dyDescent="0.2">
      <c r="B6" s="80"/>
      <c r="C6" s="94" t="s">
        <v>61</v>
      </c>
      <c r="D6" s="99"/>
      <c r="E6" s="76"/>
      <c r="F6" s="76"/>
      <c r="G6" s="76"/>
      <c r="H6" s="76"/>
      <c r="I6" s="76"/>
      <c r="J6" s="76"/>
      <c r="K6" s="76"/>
      <c r="L6" s="76"/>
    </row>
    <row r="7" spans="1:15" x14ac:dyDescent="0.2">
      <c r="B7" s="82" t="s">
        <v>65</v>
      </c>
      <c r="C7" s="93" t="s">
        <v>59</v>
      </c>
      <c r="D7" s="100" t="s">
        <v>60</v>
      </c>
      <c r="E7" s="76"/>
      <c r="F7" s="76"/>
      <c r="G7" s="76"/>
      <c r="H7" s="76"/>
      <c r="I7" s="76"/>
      <c r="J7" s="76"/>
      <c r="K7" s="76"/>
      <c r="L7" s="76"/>
    </row>
    <row r="8" spans="1:15" ht="13.5" thickBot="1" x14ac:dyDescent="0.25">
      <c r="B8" s="83" t="e">
        <f>#REF!</f>
        <v>#REF!</v>
      </c>
      <c r="C8" s="101" t="e">
        <f>#REF!</f>
        <v>#REF!</v>
      </c>
      <c r="D8" s="102" t="e">
        <f>#REF!</f>
        <v>#REF!</v>
      </c>
      <c r="E8" s="76"/>
      <c r="F8" s="76"/>
      <c r="G8" s="76"/>
      <c r="H8" s="76"/>
      <c r="I8" s="76"/>
      <c r="J8" s="76"/>
      <c r="K8" s="76"/>
      <c r="L8" s="76"/>
    </row>
    <row r="9" spans="1:15" ht="13.5" thickTop="1" x14ac:dyDescent="0.2">
      <c r="C9" s="2"/>
      <c r="D9" s="76"/>
      <c r="E9" s="76"/>
      <c r="F9" s="76"/>
      <c r="G9" s="76"/>
      <c r="H9" s="76"/>
      <c r="I9" s="76"/>
      <c r="J9" s="76"/>
      <c r="K9" s="76"/>
      <c r="L9" s="76"/>
    </row>
    <row r="10" spans="1:15" ht="13.5" thickBot="1" x14ac:dyDescent="0.25">
      <c r="C10" s="2"/>
      <c r="D10" s="76"/>
      <c r="E10" s="76"/>
      <c r="F10" s="76"/>
      <c r="G10" s="76"/>
      <c r="H10" s="76"/>
      <c r="I10" s="76"/>
      <c r="J10" s="76"/>
      <c r="K10" s="76"/>
      <c r="L10" s="76"/>
    </row>
    <row r="11" spans="1:15" ht="13.5" thickTop="1" x14ac:dyDescent="0.2">
      <c r="B11" s="80"/>
      <c r="C11" s="94" t="s">
        <v>62</v>
      </c>
      <c r="D11" s="99"/>
      <c r="G11" s="76"/>
      <c r="H11" s="76"/>
      <c r="I11" s="76"/>
      <c r="J11" s="76"/>
      <c r="K11" s="76"/>
      <c r="L11" s="76"/>
    </row>
    <row r="12" spans="1:15" x14ac:dyDescent="0.2">
      <c r="B12" s="82" t="s">
        <v>65</v>
      </c>
      <c r="C12" s="93" t="s">
        <v>59</v>
      </c>
      <c r="D12" s="100" t="s">
        <v>60</v>
      </c>
      <c r="G12" s="76"/>
      <c r="H12" s="76"/>
      <c r="I12" s="76"/>
      <c r="J12" s="76"/>
      <c r="K12" s="76"/>
      <c r="L12" s="76"/>
    </row>
    <row r="13" spans="1:15" ht="13.5" thickBot="1" x14ac:dyDescent="0.25">
      <c r="B13" s="83">
        <f>Assumptions!B60</f>
        <v>15</v>
      </c>
      <c r="C13" s="101">
        <f>Assumptions!C60</f>
        <v>20</v>
      </c>
      <c r="D13" s="102">
        <f>Assumptions!D60</f>
        <v>20</v>
      </c>
      <c r="G13" s="43"/>
      <c r="H13" s="43"/>
      <c r="I13" s="43"/>
      <c r="J13" s="43"/>
      <c r="K13" s="43"/>
      <c r="L13" s="43"/>
    </row>
    <row r="14" spans="1:15" ht="13.5" thickTop="1" x14ac:dyDescent="0.2"/>
    <row r="15" spans="1:15" x14ac:dyDescent="0.2">
      <c r="A15" s="29"/>
      <c r="B15" s="84"/>
      <c r="C15" s="84"/>
      <c r="D15" s="76"/>
      <c r="E15" s="76"/>
      <c r="F15" s="76"/>
      <c r="G15" s="76"/>
      <c r="H15" s="76"/>
      <c r="I15" s="76"/>
      <c r="J15" s="76"/>
      <c r="K15" s="76"/>
      <c r="L15" s="76"/>
    </row>
    <row r="16" spans="1:15" ht="15" x14ac:dyDescent="0.25">
      <c r="A16" s="1" t="s">
        <v>192</v>
      </c>
      <c r="B16" s="50">
        <v>2010</v>
      </c>
      <c r="C16" s="50">
        <v>2011</v>
      </c>
      <c r="D16" s="50">
        <v>2012</v>
      </c>
      <c r="E16" s="50">
        <v>2013</v>
      </c>
      <c r="F16" s="50">
        <v>2014</v>
      </c>
      <c r="G16" s="50">
        <v>2015</v>
      </c>
      <c r="H16" s="50">
        <v>2016</v>
      </c>
      <c r="I16" s="50">
        <v>2017</v>
      </c>
      <c r="J16" s="50">
        <v>2018</v>
      </c>
      <c r="K16" s="50">
        <v>2019</v>
      </c>
      <c r="L16" s="50">
        <v>2020</v>
      </c>
      <c r="M16" s="50">
        <v>2021</v>
      </c>
      <c r="N16" s="50">
        <v>2022</v>
      </c>
      <c r="O16" s="50">
        <v>2023</v>
      </c>
    </row>
    <row r="17" spans="1:15" x14ac:dyDescent="0.2">
      <c r="A17" s="1" t="s">
        <v>46</v>
      </c>
      <c r="B17" s="73">
        <f t="shared" ref="B17:E19" si="0">+C17/1.035</f>
        <v>32449.022790584044</v>
      </c>
      <c r="C17" s="73">
        <f t="shared" si="0"/>
        <v>33584.738588254484</v>
      </c>
      <c r="D17" s="73">
        <f t="shared" si="0"/>
        <v>34760.204438843386</v>
      </c>
      <c r="E17" s="73">
        <f t="shared" si="0"/>
        <v>35976.811594202904</v>
      </c>
      <c r="F17" s="73">
        <f>+Assumptions!K20</f>
        <v>37236</v>
      </c>
      <c r="G17" s="53">
        <f>+Assumptions!C25</f>
        <v>38688</v>
      </c>
      <c r="H17" s="73">
        <f>+Assumptions!D25</f>
        <v>40158</v>
      </c>
      <c r="I17" s="73">
        <f>+Assumptions!E25</f>
        <v>41563.53</v>
      </c>
      <c r="J17" s="73">
        <f>+Assumptions!F25</f>
        <v>43018.253549999994</v>
      </c>
      <c r="K17" s="73">
        <f>+Assumptions!G25</f>
        <v>44523.892424249992</v>
      </c>
      <c r="L17" s="73">
        <f>+Assumptions!H25</f>
        <v>46082.228659098735</v>
      </c>
      <c r="M17" s="73">
        <f>+L17*1.035</f>
        <v>47695.106662167185</v>
      </c>
      <c r="N17" s="73">
        <f>+M17*1.035</f>
        <v>49364.435395343033</v>
      </c>
      <c r="O17" s="73">
        <f>+N17*1.035</f>
        <v>51092.190634180035</v>
      </c>
    </row>
    <row r="18" spans="1:15" x14ac:dyDescent="0.2">
      <c r="A18" s="1" t="s">
        <v>94</v>
      </c>
      <c r="B18" s="73">
        <f t="shared" si="0"/>
        <v>16224.511395292022</v>
      </c>
      <c r="C18" s="73">
        <f t="shared" si="0"/>
        <v>16792.369294127242</v>
      </c>
      <c r="D18" s="73">
        <f t="shared" si="0"/>
        <v>17380.102219421693</v>
      </c>
      <c r="E18" s="73">
        <f t="shared" si="0"/>
        <v>17988.405797101452</v>
      </c>
      <c r="F18" s="73">
        <f>+Assumptions!K21</f>
        <v>18618</v>
      </c>
      <c r="G18" s="53">
        <f t="shared" ref="G18:O18" si="1">+G17/2</f>
        <v>19344</v>
      </c>
      <c r="H18" s="73">
        <f t="shared" si="1"/>
        <v>20079</v>
      </c>
      <c r="I18" s="73">
        <f t="shared" si="1"/>
        <v>20781.764999999999</v>
      </c>
      <c r="J18" s="73">
        <f t="shared" si="1"/>
        <v>21509.126774999997</v>
      </c>
      <c r="K18" s="73">
        <f t="shared" si="1"/>
        <v>22261.946212124996</v>
      </c>
      <c r="L18" s="73">
        <f t="shared" si="1"/>
        <v>23041.114329549368</v>
      </c>
      <c r="M18" s="73">
        <f t="shared" si="1"/>
        <v>23847.553331083593</v>
      </c>
      <c r="N18" s="73">
        <f t="shared" si="1"/>
        <v>24682.217697671516</v>
      </c>
      <c r="O18" s="73">
        <f t="shared" si="1"/>
        <v>25546.095317090017</v>
      </c>
    </row>
    <row r="19" spans="1:15" x14ac:dyDescent="0.2">
      <c r="A19" s="1" t="s">
        <v>45</v>
      </c>
      <c r="B19" s="73">
        <f t="shared" si="0"/>
        <v>1352.4783373881844</v>
      </c>
      <c r="C19" s="73">
        <f t="shared" si="0"/>
        <v>1399.8150791967707</v>
      </c>
      <c r="D19" s="73">
        <f t="shared" si="0"/>
        <v>1448.8086069686576</v>
      </c>
      <c r="E19" s="73">
        <f t="shared" si="0"/>
        <v>1499.5169082125606</v>
      </c>
      <c r="F19" s="73">
        <f>+Assumptions!K22</f>
        <v>1552</v>
      </c>
      <c r="G19" s="53">
        <f>+Assumptions!C26</f>
        <v>1612</v>
      </c>
      <c r="H19" s="73">
        <f>+Assumptions!D26</f>
        <v>1673</v>
      </c>
      <c r="I19" s="73">
        <f>+Assumptions!E26</f>
        <v>1731.5549999999998</v>
      </c>
      <c r="J19" s="73">
        <f>+Assumptions!F26</f>
        <v>1792.1594249999996</v>
      </c>
      <c r="K19" s="73">
        <f>+Assumptions!G26</f>
        <v>1854.8850048749994</v>
      </c>
      <c r="L19" s="73">
        <f>+Assumptions!H26</f>
        <v>1919.8059800456242</v>
      </c>
      <c r="M19" s="73">
        <f>+L19*1.035</f>
        <v>1986.9991893472209</v>
      </c>
      <c r="N19" s="73">
        <f>+M19*1.035</f>
        <v>2056.5441609743734</v>
      </c>
      <c r="O19" s="73">
        <f>+N19*1.035</f>
        <v>2128.5232066084764</v>
      </c>
    </row>
    <row r="20" spans="1:15" x14ac:dyDescent="0.2">
      <c r="C20" s="110"/>
      <c r="D20" s="110"/>
      <c r="E20" s="110"/>
      <c r="F20" s="110"/>
      <c r="G20" s="110"/>
      <c r="H20" s="43"/>
      <c r="I20" s="43"/>
      <c r="J20" s="43"/>
      <c r="K20" s="43"/>
      <c r="L20" s="43"/>
    </row>
    <row r="21" spans="1:15" ht="15" x14ac:dyDescent="0.25">
      <c r="A21" s="1" t="s">
        <v>196</v>
      </c>
      <c r="B21" s="50">
        <v>2010</v>
      </c>
      <c r="C21" s="50">
        <v>2011</v>
      </c>
      <c r="D21" s="50">
        <v>2012</v>
      </c>
      <c r="E21" s="50">
        <v>2013</v>
      </c>
      <c r="F21" s="50">
        <v>2014</v>
      </c>
      <c r="G21" s="50">
        <v>2015</v>
      </c>
      <c r="H21" s="50">
        <v>2016</v>
      </c>
      <c r="I21" s="50">
        <v>2017</v>
      </c>
      <c r="J21" s="50">
        <v>2018</v>
      </c>
      <c r="K21" s="50">
        <v>2019</v>
      </c>
      <c r="L21" s="50">
        <v>2020</v>
      </c>
      <c r="M21" s="50">
        <v>2021</v>
      </c>
      <c r="N21" s="50">
        <v>2022</v>
      </c>
      <c r="O21" s="50">
        <v>2023</v>
      </c>
    </row>
    <row r="22" spans="1:15" x14ac:dyDescent="0.2">
      <c r="A22" s="154" t="s">
        <v>46</v>
      </c>
      <c r="B22" s="73">
        <f t="shared" ref="B22:E24" si="2">+C22/1.035</f>
        <v>29569.777670267962</v>
      </c>
      <c r="C22" s="73">
        <f t="shared" si="2"/>
        <v>30604.719888727337</v>
      </c>
      <c r="D22" s="73">
        <f t="shared" si="2"/>
        <v>31675.885084832793</v>
      </c>
      <c r="E22" s="73">
        <f t="shared" si="2"/>
        <v>32784.541062801938</v>
      </c>
      <c r="F22" s="73">
        <f>+Assumptions!K30</f>
        <v>33932</v>
      </c>
      <c r="G22" s="53">
        <f>+Assumptions!C35</f>
        <v>35256</v>
      </c>
      <c r="H22" s="73">
        <f>+Assumptions!D35</f>
        <v>36596</v>
      </c>
      <c r="I22" s="73">
        <f>+Assumptions!E35</f>
        <v>37876.86</v>
      </c>
      <c r="J22" s="73">
        <f>+Assumptions!F35</f>
        <v>39202.5501</v>
      </c>
      <c r="K22" s="73">
        <f>+Assumptions!G35</f>
        <v>40574.639353499995</v>
      </c>
      <c r="L22" s="73">
        <f>+Assumptions!H35</f>
        <v>41994.751730872493</v>
      </c>
      <c r="M22" s="73">
        <f>+L22*1.035</f>
        <v>43464.568041453029</v>
      </c>
      <c r="N22" s="73">
        <f>+M22*1.035</f>
        <v>44985.827922903882</v>
      </c>
      <c r="O22" s="73">
        <f>+N22*1.035</f>
        <v>46560.331900205514</v>
      </c>
    </row>
    <row r="23" spans="1:15" x14ac:dyDescent="0.2">
      <c r="A23" s="154" t="s">
        <v>94</v>
      </c>
      <c r="B23" s="73">
        <f t="shared" si="2"/>
        <v>14784.888835133981</v>
      </c>
      <c r="C23" s="73">
        <f t="shared" si="2"/>
        <v>15302.359944363669</v>
      </c>
      <c r="D23" s="73">
        <f t="shared" si="2"/>
        <v>15837.942542416396</v>
      </c>
      <c r="E23" s="73">
        <f t="shared" si="2"/>
        <v>16392.270531400969</v>
      </c>
      <c r="F23" s="73">
        <f>+Assumptions!K31</f>
        <v>16966</v>
      </c>
      <c r="G23" s="53">
        <f t="shared" ref="G23:O23" si="3">+G22/2</f>
        <v>17628</v>
      </c>
      <c r="H23" s="73">
        <f t="shared" si="3"/>
        <v>18298</v>
      </c>
      <c r="I23" s="73">
        <f t="shared" si="3"/>
        <v>18938.43</v>
      </c>
      <c r="J23" s="73">
        <f t="shared" si="3"/>
        <v>19601.27505</v>
      </c>
      <c r="K23" s="73">
        <f t="shared" si="3"/>
        <v>20287.319676749998</v>
      </c>
      <c r="L23" s="73">
        <f t="shared" si="3"/>
        <v>20997.375865436246</v>
      </c>
      <c r="M23" s="73">
        <f t="shared" si="3"/>
        <v>21732.284020726514</v>
      </c>
      <c r="N23" s="73">
        <f t="shared" si="3"/>
        <v>22492.913961451941</v>
      </c>
      <c r="O23" s="73">
        <f t="shared" si="3"/>
        <v>23280.165950102757</v>
      </c>
    </row>
    <row r="24" spans="1:15" x14ac:dyDescent="0.2">
      <c r="A24" s="154" t="s">
        <v>45</v>
      </c>
      <c r="B24" s="73">
        <f t="shared" si="2"/>
        <v>1037.8876931889995</v>
      </c>
      <c r="C24" s="73">
        <f t="shared" si="2"/>
        <v>1074.2137624506145</v>
      </c>
      <c r="D24" s="73">
        <f t="shared" si="2"/>
        <v>1111.811244136386</v>
      </c>
      <c r="E24" s="73">
        <f t="shared" si="2"/>
        <v>1150.7246376811595</v>
      </c>
      <c r="F24" s="73">
        <f>+Assumptions!K32</f>
        <v>1191</v>
      </c>
      <c r="G24" s="53">
        <f>+Assumptions!C36</f>
        <v>1259</v>
      </c>
      <c r="H24" s="73">
        <f>+Assumptions!D36</f>
        <v>1331</v>
      </c>
      <c r="I24" s="73">
        <f>+Assumptions!E36</f>
        <v>1377.5849999999998</v>
      </c>
      <c r="J24" s="73">
        <f>+Assumptions!F36</f>
        <v>1425.8004749999998</v>
      </c>
      <c r="K24" s="73">
        <f>+Assumptions!G36</f>
        <v>1475.7034916249997</v>
      </c>
      <c r="L24" s="73">
        <f>+Assumptions!H36</f>
        <v>1527.3531138318747</v>
      </c>
      <c r="M24" s="73">
        <f>+L24*1.035</f>
        <v>1580.8104728159901</v>
      </c>
      <c r="N24" s="73">
        <f>+M24*1.035</f>
        <v>1636.1388393645495</v>
      </c>
      <c r="O24" s="73">
        <f>+N24*1.035</f>
        <v>1693.4036987423087</v>
      </c>
    </row>
    <row r="25" spans="1:15" x14ac:dyDescent="0.2">
      <c r="K25" s="76"/>
      <c r="L25" s="43"/>
    </row>
    <row r="26" spans="1:15" x14ac:dyDescent="0.2">
      <c r="D26" s="43"/>
      <c r="E26" s="43"/>
      <c r="F26" s="43"/>
      <c r="G26" s="2"/>
      <c r="H26" s="76"/>
      <c r="I26" s="76"/>
      <c r="J26" s="76"/>
      <c r="K26" s="76"/>
      <c r="L26" s="43"/>
    </row>
    <row r="27" spans="1:15" x14ac:dyDescent="0.2">
      <c r="D27" s="76"/>
      <c r="E27" s="76"/>
      <c r="F27" s="76"/>
      <c r="G27" s="2"/>
      <c r="H27" s="76"/>
      <c r="I27" s="76"/>
      <c r="J27" s="76"/>
      <c r="K27" s="76"/>
      <c r="L27" s="76"/>
    </row>
    <row r="28" spans="1:15" x14ac:dyDescent="0.2">
      <c r="G28" s="2"/>
      <c r="H28" s="76"/>
      <c r="I28" s="76"/>
      <c r="J28" s="76"/>
      <c r="K28" s="76"/>
      <c r="L28" s="76"/>
    </row>
    <row r="29" spans="1:15" x14ac:dyDescent="0.2">
      <c r="K29" s="76"/>
      <c r="L29" s="76"/>
    </row>
    <row r="30" spans="1:15" x14ac:dyDescent="0.2">
      <c r="G30" s="76"/>
      <c r="H30" s="76"/>
      <c r="I30" s="76"/>
      <c r="J30" s="76"/>
      <c r="K30" s="76"/>
      <c r="L30" s="76"/>
    </row>
    <row r="31" spans="1:15" x14ac:dyDescent="0.2">
      <c r="G31" s="76"/>
      <c r="H31" s="76"/>
      <c r="I31" s="76"/>
      <c r="J31" s="76"/>
      <c r="K31" s="76"/>
      <c r="L31" s="76"/>
    </row>
    <row r="32" spans="1:15" x14ac:dyDescent="0.2">
      <c r="G32" s="76"/>
      <c r="H32" s="76"/>
      <c r="I32" s="76"/>
      <c r="J32" s="76"/>
      <c r="K32" s="76"/>
      <c r="L32" s="76"/>
    </row>
    <row r="33" spans="1:13" x14ac:dyDescent="0.2">
      <c r="L33" s="46"/>
    </row>
    <row r="34" spans="1:13" x14ac:dyDescent="0.2">
      <c r="C34" s="490" t="s">
        <v>48</v>
      </c>
      <c r="D34" s="478"/>
      <c r="E34" s="478"/>
      <c r="F34" s="478"/>
      <c r="G34" s="478"/>
      <c r="H34" s="478"/>
      <c r="I34" s="478"/>
      <c r="J34" s="478"/>
      <c r="K34" s="491"/>
      <c r="M34" s="46"/>
    </row>
    <row r="35" spans="1:13" ht="13.5" thickBot="1" x14ac:dyDescent="0.25">
      <c r="C35" s="33" t="s">
        <v>87</v>
      </c>
      <c r="D35" s="33" t="s">
        <v>86</v>
      </c>
      <c r="E35" s="33" t="s">
        <v>89</v>
      </c>
      <c r="F35" s="33" t="s">
        <v>88</v>
      </c>
      <c r="G35" s="33" t="s">
        <v>85</v>
      </c>
      <c r="H35" s="33" t="s">
        <v>84</v>
      </c>
      <c r="I35" s="33" t="s">
        <v>82</v>
      </c>
      <c r="J35" s="33" t="s">
        <v>107</v>
      </c>
      <c r="K35" s="33" t="s">
        <v>83</v>
      </c>
      <c r="M35" s="46"/>
    </row>
    <row r="36" spans="1:13" s="154" customFormat="1" ht="14.25" customHeight="1" thickTop="1" thickBot="1" x14ac:dyDescent="0.25">
      <c r="B36" s="51">
        <v>2015</v>
      </c>
      <c r="C36" s="418">
        <v>124768</v>
      </c>
      <c r="D36" s="418">
        <v>124871</v>
      </c>
      <c r="E36" s="418">
        <v>99867</v>
      </c>
      <c r="F36" s="419">
        <v>86887</v>
      </c>
      <c r="G36" s="419">
        <v>101531</v>
      </c>
      <c r="H36" s="419">
        <v>86105</v>
      </c>
      <c r="I36" s="419">
        <v>84140</v>
      </c>
      <c r="J36" s="419">
        <v>117605</v>
      </c>
      <c r="K36" s="419">
        <v>78141</v>
      </c>
      <c r="M36" s="76"/>
    </row>
    <row r="37" spans="1:13" s="154" customFormat="1" ht="14.25" thickTop="1" thickBot="1" x14ac:dyDescent="0.25">
      <c r="C37" s="420">
        <f>((1360+1434)/2)*3</f>
        <v>4191</v>
      </c>
      <c r="D37" s="421">
        <f>+C37</f>
        <v>4191</v>
      </c>
      <c r="E37" s="421">
        <f t="shared" ref="E37:K37" si="4">+D37</f>
        <v>4191</v>
      </c>
      <c r="F37" s="421">
        <f t="shared" si="4"/>
        <v>4191</v>
      </c>
      <c r="G37" s="421">
        <f t="shared" si="4"/>
        <v>4191</v>
      </c>
      <c r="H37" s="421">
        <f t="shared" si="4"/>
        <v>4191</v>
      </c>
      <c r="I37" s="421">
        <f t="shared" si="4"/>
        <v>4191</v>
      </c>
      <c r="J37" s="421">
        <f t="shared" si="4"/>
        <v>4191</v>
      </c>
      <c r="K37" s="421">
        <f t="shared" si="4"/>
        <v>4191</v>
      </c>
      <c r="M37" s="76"/>
    </row>
    <row r="38" spans="1:13" ht="14.25" customHeight="1" thickTop="1" thickBot="1" x14ac:dyDescent="0.25">
      <c r="A38" s="1" t="s">
        <v>40</v>
      </c>
      <c r="B38" s="51">
        <v>2014</v>
      </c>
      <c r="C38" s="120">
        <v>126157</v>
      </c>
      <c r="D38" s="121">
        <v>125679</v>
      </c>
      <c r="E38" s="121">
        <v>100578</v>
      </c>
      <c r="F38" s="122">
        <v>89946</v>
      </c>
      <c r="G38" s="122">
        <v>105721</v>
      </c>
      <c r="H38" s="122">
        <f>86643</f>
        <v>86643</v>
      </c>
      <c r="I38" s="122">
        <f>85375</f>
        <v>85375</v>
      </c>
      <c r="J38" s="122">
        <f>116720</f>
        <v>116720</v>
      </c>
      <c r="K38" s="122">
        <f>76945</f>
        <v>76945</v>
      </c>
      <c r="L38" s="488"/>
      <c r="M38" s="489"/>
    </row>
    <row r="39" spans="1:13" ht="14.25" thickTop="1" thickBot="1" x14ac:dyDescent="0.25">
      <c r="A39" s="1" t="s">
        <v>49</v>
      </c>
      <c r="C39" s="123">
        <f>((1266+1472)/2)*3</f>
        <v>4107</v>
      </c>
      <c r="D39" s="123">
        <f t="shared" ref="D39:K39" si="5">((1266+1472)/2)*3</f>
        <v>4107</v>
      </c>
      <c r="E39" s="123">
        <f t="shared" si="5"/>
        <v>4107</v>
      </c>
      <c r="F39" s="123">
        <f t="shared" si="5"/>
        <v>4107</v>
      </c>
      <c r="G39" s="123">
        <f t="shared" si="5"/>
        <v>4107</v>
      </c>
      <c r="H39" s="123">
        <f t="shared" si="5"/>
        <v>4107</v>
      </c>
      <c r="I39" s="123">
        <f t="shared" si="5"/>
        <v>4107</v>
      </c>
      <c r="J39" s="123">
        <f t="shared" si="5"/>
        <v>4107</v>
      </c>
      <c r="K39" s="123">
        <f t="shared" si="5"/>
        <v>4107</v>
      </c>
      <c r="L39" s="488"/>
      <c r="M39" s="489"/>
    </row>
    <row r="40" spans="1:13" ht="14.25" thickTop="1" thickBot="1" x14ac:dyDescent="0.25">
      <c r="B40" s="51">
        <v>2013</v>
      </c>
      <c r="C40" s="72">
        <f t="shared" ref="C40:K40" si="6">+C38/1.025</f>
        <v>123080.00000000001</v>
      </c>
      <c r="D40" s="72">
        <f t="shared" si="6"/>
        <v>122613.65853658538</v>
      </c>
      <c r="E40" s="72">
        <f t="shared" si="6"/>
        <v>98124.878048780491</v>
      </c>
      <c r="F40" s="72">
        <f t="shared" si="6"/>
        <v>87752.195121951227</v>
      </c>
      <c r="G40" s="72">
        <f t="shared" si="6"/>
        <v>103142.43902439026</v>
      </c>
      <c r="H40" s="72">
        <f t="shared" si="6"/>
        <v>84529.756097560981</v>
      </c>
      <c r="I40" s="72">
        <f t="shared" si="6"/>
        <v>83292.682926829279</v>
      </c>
      <c r="J40" s="72">
        <f t="shared" si="6"/>
        <v>113873.17073170733</v>
      </c>
      <c r="K40" s="72">
        <f t="shared" si="6"/>
        <v>75068.29268292684</v>
      </c>
      <c r="L40" s="488"/>
      <c r="M40" s="489"/>
    </row>
    <row r="41" spans="1:13" ht="14.25" thickTop="1" thickBot="1" x14ac:dyDescent="0.25">
      <c r="C41" s="71">
        <f t="shared" ref="C41:K41" si="7">+C39/1.01</f>
        <v>4066.3366336633662</v>
      </c>
      <c r="D41" s="71">
        <f t="shared" si="7"/>
        <v>4066.3366336633662</v>
      </c>
      <c r="E41" s="71">
        <f t="shared" si="7"/>
        <v>4066.3366336633662</v>
      </c>
      <c r="F41" s="71">
        <f t="shared" si="7"/>
        <v>4066.3366336633662</v>
      </c>
      <c r="G41" s="71">
        <f t="shared" si="7"/>
        <v>4066.3366336633662</v>
      </c>
      <c r="H41" s="71">
        <f t="shared" si="7"/>
        <v>4066.3366336633662</v>
      </c>
      <c r="I41" s="71">
        <f t="shared" si="7"/>
        <v>4066.3366336633662</v>
      </c>
      <c r="J41" s="71">
        <f t="shared" si="7"/>
        <v>4066.3366336633662</v>
      </c>
      <c r="K41" s="71">
        <f t="shared" si="7"/>
        <v>4066.3366336633662</v>
      </c>
      <c r="L41" s="488"/>
      <c r="M41" s="489"/>
    </row>
    <row r="42" spans="1:13" ht="14.25" thickTop="1" thickBot="1" x14ac:dyDescent="0.25">
      <c r="B42" s="51">
        <v>2012</v>
      </c>
      <c r="C42" s="72">
        <f t="shared" ref="C42:K42" si="8">+C40/1.025</f>
        <v>120078.04878048784</v>
      </c>
      <c r="D42" s="72">
        <f t="shared" si="8"/>
        <v>119623.08149910771</v>
      </c>
      <c r="E42" s="72">
        <f t="shared" si="8"/>
        <v>95731.588340273651</v>
      </c>
      <c r="F42" s="72">
        <f t="shared" si="8"/>
        <v>85611.897679952424</v>
      </c>
      <c r="G42" s="72">
        <f t="shared" si="8"/>
        <v>100626.76977989294</v>
      </c>
      <c r="H42" s="72">
        <f t="shared" si="8"/>
        <v>82468.054729327792</v>
      </c>
      <c r="I42" s="72">
        <f t="shared" si="8"/>
        <v>81261.154074955397</v>
      </c>
      <c r="J42" s="72">
        <f t="shared" si="8"/>
        <v>111095.77632361691</v>
      </c>
      <c r="K42" s="72">
        <f t="shared" si="8"/>
        <v>73237.358715050577</v>
      </c>
      <c r="L42" s="488"/>
      <c r="M42" s="489"/>
    </row>
    <row r="43" spans="1:13" ht="14.25" thickTop="1" thickBot="1" x14ac:dyDescent="0.25">
      <c r="C43" s="71">
        <f t="shared" ref="C43:K43" si="9">+C41/1.01</f>
        <v>4026.0758749142237</v>
      </c>
      <c r="D43" s="71">
        <f t="shared" si="9"/>
        <v>4026.0758749142237</v>
      </c>
      <c r="E43" s="71">
        <f t="shared" si="9"/>
        <v>4026.0758749142237</v>
      </c>
      <c r="F43" s="71">
        <f t="shared" si="9"/>
        <v>4026.0758749142237</v>
      </c>
      <c r="G43" s="71">
        <f t="shared" si="9"/>
        <v>4026.0758749142237</v>
      </c>
      <c r="H43" s="71">
        <f t="shared" si="9"/>
        <v>4026.0758749142237</v>
      </c>
      <c r="I43" s="71">
        <f t="shared" si="9"/>
        <v>4026.0758749142237</v>
      </c>
      <c r="J43" s="71">
        <f t="shared" si="9"/>
        <v>4026.0758749142237</v>
      </c>
      <c r="K43" s="71">
        <f t="shared" si="9"/>
        <v>4026.0758749142237</v>
      </c>
      <c r="L43" s="488"/>
      <c r="M43" s="489"/>
    </row>
    <row r="44" spans="1:13" ht="14.25" thickTop="1" thickBot="1" x14ac:dyDescent="0.25">
      <c r="B44" s="51">
        <v>2011</v>
      </c>
      <c r="C44" s="72">
        <f t="shared" ref="C44:K44" si="10">+C42/1.025</f>
        <v>117149.31588340277</v>
      </c>
      <c r="D44" s="72">
        <f t="shared" si="10"/>
        <v>116705.44536498314</v>
      </c>
      <c r="E44" s="72">
        <f t="shared" si="10"/>
        <v>93396.671551486492</v>
      </c>
      <c r="F44" s="72">
        <f t="shared" si="10"/>
        <v>83523.802614587737</v>
      </c>
      <c r="G44" s="72">
        <f t="shared" si="10"/>
        <v>98172.458321846789</v>
      </c>
      <c r="H44" s="72">
        <f t="shared" si="10"/>
        <v>80456.638760319809</v>
      </c>
      <c r="I44" s="72">
        <f t="shared" si="10"/>
        <v>79279.17470727356</v>
      </c>
      <c r="J44" s="72">
        <f t="shared" si="10"/>
        <v>108386.12324255309</v>
      </c>
      <c r="K44" s="72">
        <f t="shared" si="10"/>
        <v>71451.081673220076</v>
      </c>
      <c r="M44" s="46"/>
    </row>
    <row r="45" spans="1:13" ht="14.25" thickTop="1" thickBot="1" x14ac:dyDescent="0.25">
      <c r="C45" s="71">
        <f t="shared" ref="C45:K45" si="11">+C43/1.01</f>
        <v>3986.2137375388352</v>
      </c>
      <c r="D45" s="71">
        <f t="shared" si="11"/>
        <v>3986.2137375388352</v>
      </c>
      <c r="E45" s="71">
        <f t="shared" si="11"/>
        <v>3986.2137375388352</v>
      </c>
      <c r="F45" s="71">
        <f t="shared" si="11"/>
        <v>3986.2137375388352</v>
      </c>
      <c r="G45" s="71">
        <f t="shared" si="11"/>
        <v>3986.2137375388352</v>
      </c>
      <c r="H45" s="71">
        <f t="shared" si="11"/>
        <v>3986.2137375388352</v>
      </c>
      <c r="I45" s="71">
        <f t="shared" si="11"/>
        <v>3986.2137375388352</v>
      </c>
      <c r="J45" s="71">
        <f t="shared" si="11"/>
        <v>3986.2137375388352</v>
      </c>
      <c r="K45" s="71">
        <f t="shared" si="11"/>
        <v>3986.2137375388352</v>
      </c>
      <c r="M45" s="46"/>
    </row>
    <row r="46" spans="1:13" ht="14.25" thickTop="1" thickBot="1" x14ac:dyDescent="0.25">
      <c r="B46" s="51">
        <v>2010</v>
      </c>
      <c r="C46" s="72">
        <f t="shared" ref="C46:K46" si="12">+C44/1.025</f>
        <v>114292.01549600271</v>
      </c>
      <c r="D46" s="72">
        <f t="shared" si="12"/>
        <v>113858.97108778844</v>
      </c>
      <c r="E46" s="72">
        <f t="shared" si="12"/>
        <v>91118.703952669763</v>
      </c>
      <c r="F46" s="72">
        <f t="shared" si="12"/>
        <v>81486.63669715877</v>
      </c>
      <c r="G46" s="72">
        <f t="shared" si="12"/>
        <v>95778.008118874917</v>
      </c>
      <c r="H46" s="72">
        <f t="shared" si="12"/>
        <v>78494.28171738518</v>
      </c>
      <c r="I46" s="72">
        <f t="shared" si="12"/>
        <v>77345.536299779094</v>
      </c>
      <c r="J46" s="72">
        <f t="shared" si="12"/>
        <v>105742.55926102742</v>
      </c>
      <c r="K46" s="72">
        <f t="shared" si="12"/>
        <v>69708.372364117153</v>
      </c>
      <c r="M46" s="46"/>
    </row>
    <row r="47" spans="1:13" ht="14.25" thickTop="1" thickBot="1" x14ac:dyDescent="0.25">
      <c r="C47" s="71">
        <f t="shared" ref="C47:K47" si="13">+C45/1.01</f>
        <v>3946.7462747909258</v>
      </c>
      <c r="D47" s="71">
        <f t="shared" si="13"/>
        <v>3946.7462747909258</v>
      </c>
      <c r="E47" s="71">
        <f t="shared" si="13"/>
        <v>3946.7462747909258</v>
      </c>
      <c r="F47" s="71">
        <f t="shared" si="13"/>
        <v>3946.7462747909258</v>
      </c>
      <c r="G47" s="71">
        <f t="shared" si="13"/>
        <v>3946.7462747909258</v>
      </c>
      <c r="H47" s="71">
        <f t="shared" si="13"/>
        <v>3946.7462747909258</v>
      </c>
      <c r="I47" s="71">
        <f t="shared" si="13"/>
        <v>3946.7462747909258</v>
      </c>
      <c r="J47" s="71">
        <f t="shared" si="13"/>
        <v>3946.7462747909258</v>
      </c>
      <c r="K47" s="71">
        <f t="shared" si="13"/>
        <v>3946.7462747909258</v>
      </c>
      <c r="M47" s="46"/>
    </row>
    <row r="48" spans="1:13" ht="13.5" thickTop="1" x14ac:dyDescent="0.2"/>
    <row r="49" spans="1:12" x14ac:dyDescent="0.2">
      <c r="A49" t="s">
        <v>223</v>
      </c>
      <c r="B49"/>
      <c r="C49"/>
      <c r="D49"/>
      <c r="E49"/>
      <c r="F49"/>
      <c r="I49"/>
    </row>
    <row r="50" spans="1:12" x14ac:dyDescent="0.2">
      <c r="A50"/>
      <c r="B50"/>
      <c r="C50" s="289"/>
      <c r="D50" s="290" t="s">
        <v>237</v>
      </c>
      <c r="E50" s="290" t="s">
        <v>231</v>
      </c>
      <c r="F50" s="290" t="s">
        <v>231</v>
      </c>
      <c r="I50"/>
    </row>
    <row r="51" spans="1:12" x14ac:dyDescent="0.2">
      <c r="A51"/>
      <c r="B51"/>
      <c r="C51" s="289"/>
      <c r="D51" s="289"/>
      <c r="E51" s="290" t="s">
        <v>238</v>
      </c>
      <c r="F51" s="290" t="s">
        <v>19</v>
      </c>
      <c r="I51"/>
    </row>
    <row r="52" spans="1:12" x14ac:dyDescent="0.2">
      <c r="A52"/>
      <c r="B52" s="291" t="s">
        <v>231</v>
      </c>
      <c r="C52" s="289" t="s">
        <v>232</v>
      </c>
      <c r="D52" s="292">
        <v>100</v>
      </c>
      <c r="E52" s="292">
        <v>120</v>
      </c>
      <c r="F52" s="292">
        <f>D52+E52</f>
        <v>220</v>
      </c>
      <c r="I52"/>
    </row>
    <row r="53" spans="1:12" x14ac:dyDescent="0.2">
      <c r="A53"/>
      <c r="B53" s="291" t="s">
        <v>237</v>
      </c>
      <c r="C53" s="289" t="s">
        <v>233</v>
      </c>
      <c r="D53" s="292">
        <v>90</v>
      </c>
      <c r="E53" s="292">
        <f>E52</f>
        <v>120</v>
      </c>
      <c r="F53" s="292">
        <f>D53+E53</f>
        <v>210</v>
      </c>
      <c r="I53"/>
    </row>
    <row r="54" spans="1:12" x14ac:dyDescent="0.2">
      <c r="A54"/>
      <c r="B54"/>
      <c r="C54" s="289" t="s">
        <v>235</v>
      </c>
      <c r="D54" s="292">
        <v>280</v>
      </c>
      <c r="E54" s="292">
        <f>E53</f>
        <v>120</v>
      </c>
      <c r="F54" s="292">
        <f>D54+E54</f>
        <v>400</v>
      </c>
      <c r="I54"/>
    </row>
    <row r="55" spans="1:12" x14ac:dyDescent="0.2">
      <c r="A55"/>
      <c r="B55"/>
      <c r="C55" s="289" t="s">
        <v>234</v>
      </c>
      <c r="D55" s="292">
        <v>350</v>
      </c>
      <c r="E55" s="292">
        <f>E54</f>
        <v>120</v>
      </c>
      <c r="F55" s="292">
        <f>D55+E55</f>
        <v>470</v>
      </c>
      <c r="I55"/>
    </row>
    <row r="56" spans="1:12" s="154" customFormat="1" x14ac:dyDescent="0.2">
      <c r="I56" s="167"/>
      <c r="J56" s="167"/>
      <c r="K56" s="167"/>
      <c r="L56" s="167"/>
    </row>
    <row r="57" spans="1:12" s="154" customFormat="1" x14ac:dyDescent="0.2">
      <c r="I57" s="167"/>
      <c r="J57" s="167"/>
      <c r="K57" s="167"/>
      <c r="L57" s="167"/>
    </row>
    <row r="58" spans="1:12" ht="15.75" x14ac:dyDescent="0.25">
      <c r="A58" s="25" t="s">
        <v>113</v>
      </c>
    </row>
    <row r="59" spans="1:12" ht="15.75" x14ac:dyDescent="0.25">
      <c r="A59" s="163" t="s">
        <v>140</v>
      </c>
    </row>
    <row r="62" spans="1:12" x14ac:dyDescent="0.2">
      <c r="C62"/>
      <c r="D62"/>
      <c r="E62"/>
      <c r="F62"/>
      <c r="G62"/>
      <c r="H62"/>
      <c r="I62"/>
    </row>
    <row r="63" spans="1:12" x14ac:dyDescent="0.2">
      <c r="C63"/>
      <c r="D63"/>
      <c r="E63"/>
      <c r="F63"/>
      <c r="G63"/>
      <c r="H63"/>
      <c r="I63"/>
    </row>
  </sheetData>
  <sheetProtection algorithmName="SHA-512" hashValue="r6kgVxkWbfTK7OtAW9+vGWZwCsvAyPt8Y50UCK12nPmpxkzKF3yit4/TiLgCskxcf1qKPvC+egyNpwciMcAjJg==" saltValue="/syOjAdODzvlHoxjdDyXyA==" spinCount="100000" sheet="1" objects="1" scenarios="1"/>
  <mergeCells count="3">
    <mergeCell ref="A2:K2"/>
    <mergeCell ref="L38:M43"/>
    <mergeCell ref="C34:K34"/>
  </mergeCells>
  <printOptions horizontalCentered="1"/>
  <pageMargins left="0.5" right="0.5" top="0.5" bottom="0.5" header="0.25" footer="0.25"/>
  <pageSetup scale="54" orientation="landscape" r:id="rId1"/>
  <headerFooter>
    <oddFooter>&amp;L&amp;"Calibri,Regular"&amp;8&amp;K04-023JRT &amp;D&amp;C&amp;"Calibri,Regular"&amp;8&amp;K04-023&amp;A&amp;R&amp;"Calibri,Regular"&amp;8&amp;K04-023&amp;F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Q105"/>
  <sheetViews>
    <sheetView topLeftCell="A40" zoomScale="110" zoomScaleNormal="110" workbookViewId="0">
      <selection activeCell="A53" sqref="A53"/>
    </sheetView>
  </sheetViews>
  <sheetFormatPr defaultRowHeight="12.75" x14ac:dyDescent="0.2"/>
  <cols>
    <col min="1" max="1" width="45.85546875" style="1" customWidth="1"/>
    <col min="2" max="10" width="12.7109375" style="1" customWidth="1"/>
    <col min="11" max="15" width="9.7109375" style="1" customWidth="1"/>
    <col min="16" max="16" width="11.7109375" style="1" customWidth="1"/>
    <col min="17" max="16384" width="9.140625" style="1"/>
  </cols>
  <sheetData>
    <row r="1" spans="1:17" ht="15.75" hidden="1" x14ac:dyDescent="0.25">
      <c r="A1" s="79" t="s">
        <v>111</v>
      </c>
      <c r="B1" s="5"/>
      <c r="C1" s="5"/>
      <c r="D1" s="5"/>
      <c r="E1" s="5"/>
      <c r="F1" s="5"/>
      <c r="G1" s="5"/>
      <c r="H1" s="5"/>
      <c r="I1" s="5"/>
      <c r="J1" s="5"/>
      <c r="K1" s="5"/>
      <c r="L1" s="5"/>
      <c r="M1" s="5"/>
      <c r="N1" s="5"/>
      <c r="O1" s="5"/>
      <c r="P1" s="5"/>
    </row>
    <row r="2" spans="1:17" ht="15.75" hidden="1" x14ac:dyDescent="0.25">
      <c r="A2" s="81"/>
      <c r="B2" s="5"/>
      <c r="C2" s="5"/>
      <c r="D2" s="5"/>
      <c r="E2" s="5"/>
      <c r="F2" s="5"/>
      <c r="G2" s="5"/>
      <c r="H2" s="2"/>
      <c r="I2" s="5"/>
      <c r="J2" s="5"/>
      <c r="K2" s="5"/>
      <c r="L2" s="5"/>
      <c r="M2" s="5"/>
      <c r="N2" s="5"/>
      <c r="O2" s="5"/>
      <c r="P2" s="5"/>
    </row>
    <row r="3" spans="1:17" hidden="1" x14ac:dyDescent="0.2">
      <c r="A3" s="5"/>
      <c r="P3" s="5"/>
    </row>
    <row r="4" spans="1:17" ht="15.75" hidden="1" customHeight="1" x14ac:dyDescent="0.25">
      <c r="A4" s="492" t="s">
        <v>52</v>
      </c>
      <c r="B4" s="492"/>
      <c r="C4" s="492"/>
      <c r="D4" s="492"/>
      <c r="E4" s="492"/>
      <c r="F4" s="492"/>
      <c r="G4" s="492"/>
      <c r="H4" s="492"/>
      <c r="I4" s="492"/>
      <c r="J4" s="492"/>
      <c r="K4" s="492"/>
      <c r="L4" s="78"/>
      <c r="M4" s="78"/>
      <c r="N4" s="78"/>
      <c r="O4" s="78"/>
      <c r="P4" s="5"/>
    </row>
    <row r="5" spans="1:17" ht="15.75" hidden="1" x14ac:dyDescent="0.25">
      <c r="A5" s="494" t="s">
        <v>97</v>
      </c>
      <c r="B5" s="494"/>
      <c r="C5" s="494"/>
      <c r="D5" s="494"/>
      <c r="E5" s="494"/>
      <c r="F5" s="494"/>
      <c r="G5" s="494"/>
      <c r="H5" s="494"/>
      <c r="I5" s="494"/>
      <c r="J5" s="494"/>
      <c r="K5" s="494"/>
      <c r="L5" s="74"/>
      <c r="M5" s="74"/>
      <c r="N5" s="74"/>
      <c r="O5" s="10"/>
    </row>
    <row r="6" spans="1:17" ht="15.75" hidden="1" x14ac:dyDescent="0.25">
      <c r="A6" s="469">
        <f>INPUT!D9</f>
        <v>0</v>
      </c>
      <c r="B6" s="469"/>
      <c r="C6" s="469"/>
      <c r="D6" s="469"/>
      <c r="E6" s="469"/>
      <c r="F6" s="469"/>
      <c r="G6" s="469"/>
      <c r="H6" s="469"/>
      <c r="I6" s="469"/>
      <c r="J6" s="469"/>
      <c r="K6" s="469"/>
      <c r="L6" s="11"/>
      <c r="M6" s="11"/>
      <c r="N6" s="11"/>
      <c r="O6" s="11"/>
    </row>
    <row r="7" spans="1:17" ht="15.75" hidden="1" x14ac:dyDescent="0.25">
      <c r="H7" s="97"/>
      <c r="I7" s="97"/>
      <c r="J7" s="97"/>
      <c r="K7" s="97"/>
      <c r="L7" s="96"/>
      <c r="M7" s="96"/>
      <c r="N7" s="96"/>
      <c r="O7" s="96"/>
    </row>
    <row r="8" spans="1:17" ht="15.75" hidden="1" x14ac:dyDescent="0.25">
      <c r="H8" s="40"/>
      <c r="I8" s="40"/>
      <c r="J8" s="40"/>
      <c r="K8" s="39"/>
      <c r="L8" s="39"/>
      <c r="M8" s="39"/>
      <c r="N8" s="39"/>
      <c r="O8" s="39"/>
    </row>
    <row r="9" spans="1:17" hidden="1" x14ac:dyDescent="0.2">
      <c r="H9" s="2"/>
      <c r="J9" s="5"/>
      <c r="M9" s="5"/>
      <c r="N9" s="5"/>
      <c r="O9" s="5"/>
      <c r="P9" s="5"/>
    </row>
    <row r="10" spans="1:17" hidden="1" x14ac:dyDescent="0.2">
      <c r="H10" s="2"/>
    </row>
    <row r="11" spans="1:17" ht="15" hidden="1" x14ac:dyDescent="0.25">
      <c r="H11" s="2"/>
      <c r="I11" s="493"/>
      <c r="J11" s="493"/>
      <c r="K11" s="24"/>
      <c r="L11" s="24"/>
      <c r="M11" s="24"/>
      <c r="N11" s="24"/>
      <c r="O11" s="24"/>
      <c r="P11" s="24"/>
      <c r="Q11" s="2"/>
    </row>
    <row r="12" spans="1:17" hidden="1" x14ac:dyDescent="0.2">
      <c r="H12" s="2"/>
      <c r="I12" s="26"/>
      <c r="J12" s="2"/>
      <c r="K12" s="9"/>
      <c r="L12" s="9"/>
      <c r="M12" s="9"/>
      <c r="N12" s="9"/>
      <c r="O12" s="9"/>
      <c r="P12" s="9"/>
      <c r="Q12" s="2"/>
    </row>
    <row r="13" spans="1:17" hidden="1" x14ac:dyDescent="0.2">
      <c r="H13" s="155"/>
      <c r="I13" s="155"/>
      <c r="J13" s="155"/>
      <c r="K13" s="160"/>
      <c r="L13" s="160"/>
      <c r="M13" s="9"/>
      <c r="N13" s="9"/>
      <c r="O13" s="9"/>
      <c r="P13" s="2"/>
      <c r="Q13" s="2"/>
    </row>
    <row r="14" spans="1:17" hidden="1" x14ac:dyDescent="0.2">
      <c r="H14" s="2"/>
      <c r="I14" s="2"/>
      <c r="J14" s="2"/>
      <c r="K14" s="13"/>
      <c r="L14" s="13"/>
      <c r="M14" s="13"/>
      <c r="N14" s="13"/>
      <c r="O14" s="13"/>
      <c r="P14" s="2"/>
      <c r="Q14" s="2"/>
    </row>
    <row r="15" spans="1:17" hidden="1" x14ac:dyDescent="0.2">
      <c r="H15" s="2"/>
      <c r="I15" s="2"/>
      <c r="J15" s="27"/>
      <c r="K15" s="2"/>
      <c r="L15" s="2"/>
      <c r="M15" s="2"/>
      <c r="N15" s="2"/>
      <c r="O15" s="2"/>
      <c r="P15" s="2"/>
      <c r="Q15" s="2"/>
    </row>
    <row r="16" spans="1:17" hidden="1" x14ac:dyDescent="0.2">
      <c r="H16" s="155"/>
      <c r="I16" s="154"/>
      <c r="J16" s="27"/>
      <c r="K16" s="2"/>
      <c r="L16" s="2"/>
      <c r="M16" s="2"/>
      <c r="N16" s="2"/>
      <c r="O16" s="2"/>
      <c r="P16" s="2"/>
      <c r="Q16" s="2"/>
    </row>
    <row r="17" spans="8:15" hidden="1" x14ac:dyDescent="0.2">
      <c r="H17" s="2"/>
    </row>
    <row r="18" spans="8:15" hidden="1" x14ac:dyDescent="0.2">
      <c r="H18" s="2"/>
      <c r="N18" s="5"/>
      <c r="O18" s="5"/>
    </row>
    <row r="19" spans="8:15" hidden="1" x14ac:dyDescent="0.2">
      <c r="H19" s="155"/>
      <c r="I19" s="154"/>
    </row>
    <row r="20" spans="8:15" hidden="1" x14ac:dyDescent="0.2">
      <c r="H20" s="151"/>
      <c r="I20" s="152"/>
      <c r="J20" s="153"/>
      <c r="K20" s="9"/>
      <c r="L20" s="28"/>
      <c r="M20" s="12"/>
    </row>
    <row r="21" spans="8:15" hidden="1" x14ac:dyDescent="0.2">
      <c r="H21" s="154"/>
      <c r="I21" s="154"/>
      <c r="J21" s="2"/>
      <c r="K21" s="9"/>
      <c r="L21" s="2"/>
    </row>
    <row r="22" spans="8:15" hidden="1" x14ac:dyDescent="0.2">
      <c r="H22" s="154"/>
      <c r="I22" s="154"/>
      <c r="J22" s="2"/>
      <c r="K22" s="9"/>
      <c r="L22" s="2"/>
    </row>
    <row r="23" spans="8:15" hidden="1" x14ac:dyDescent="0.2">
      <c r="H23" s="154"/>
      <c r="I23" s="154"/>
      <c r="J23" s="2"/>
      <c r="K23" s="9"/>
      <c r="L23" s="2"/>
    </row>
    <row r="24" spans="8:15" hidden="1" x14ac:dyDescent="0.2">
      <c r="H24" s="154"/>
      <c r="I24" s="154"/>
      <c r="J24" s="2"/>
      <c r="K24" s="9"/>
      <c r="L24" s="2"/>
    </row>
    <row r="25" spans="8:15" hidden="1" x14ac:dyDescent="0.2">
      <c r="H25" s="154"/>
      <c r="I25" s="154"/>
    </row>
    <row r="26" spans="8:15" hidden="1" x14ac:dyDescent="0.2">
      <c r="H26" s="154"/>
      <c r="I26" s="154"/>
    </row>
    <row r="27" spans="8:15" hidden="1" x14ac:dyDescent="0.2">
      <c r="H27" s="154"/>
      <c r="I27" s="154"/>
    </row>
    <row r="28" spans="8:15" hidden="1" x14ac:dyDescent="0.2">
      <c r="H28" s="154"/>
      <c r="I28" s="154"/>
    </row>
    <row r="29" spans="8:15" hidden="1" x14ac:dyDescent="0.2">
      <c r="H29" s="154"/>
      <c r="I29" s="154"/>
    </row>
    <row r="30" spans="8:15" hidden="1" x14ac:dyDescent="0.2">
      <c r="H30" s="154"/>
      <c r="I30" s="154"/>
    </row>
    <row r="31" spans="8:15" hidden="1" x14ac:dyDescent="0.2">
      <c r="H31" s="154"/>
      <c r="I31" s="154"/>
    </row>
    <row r="32" spans="8:15" hidden="1" x14ac:dyDescent="0.2">
      <c r="H32" s="154"/>
      <c r="I32" s="154"/>
    </row>
    <row r="33" spans="8:12" hidden="1" x14ac:dyDescent="0.2"/>
    <row r="34" spans="8:12" hidden="1" x14ac:dyDescent="0.2"/>
    <row r="35" spans="8:12" hidden="1" x14ac:dyDescent="0.2"/>
    <row r="36" spans="8:12" hidden="1" x14ac:dyDescent="0.2"/>
    <row r="37" spans="8:12" hidden="1" x14ac:dyDescent="0.2"/>
    <row r="38" spans="8:12" hidden="1" x14ac:dyDescent="0.2">
      <c r="H38" s="150"/>
      <c r="I38" s="150"/>
      <c r="J38" s="150"/>
      <c r="K38" s="150"/>
      <c r="L38" s="150"/>
    </row>
    <row r="39" spans="8:12" hidden="1" x14ac:dyDescent="0.2">
      <c r="H39" s="2"/>
    </row>
    <row r="40" spans="8:12" x14ac:dyDescent="0.2">
      <c r="H40" s="2"/>
    </row>
    <row r="41" spans="8:12" s="154" customFormat="1" x14ac:dyDescent="0.2">
      <c r="H41" s="155"/>
    </row>
    <row r="42" spans="8:12" s="154" customFormat="1" x14ac:dyDescent="0.2">
      <c r="H42" s="155"/>
    </row>
    <row r="43" spans="8:12" x14ac:dyDescent="0.2">
      <c r="H43" s="2"/>
    </row>
    <row r="44" spans="8:12" x14ac:dyDescent="0.2">
      <c r="H44" s="2"/>
    </row>
    <row r="48" spans="8:12" x14ac:dyDescent="0.2">
      <c r="H48" s="135"/>
      <c r="I48" s="135"/>
    </row>
    <row r="49" spans="2:8" x14ac:dyDescent="0.2">
      <c r="H49" s="135"/>
    </row>
    <row r="51" spans="2:8" x14ac:dyDescent="0.2">
      <c r="H51" s="135"/>
    </row>
    <row r="53" spans="2:8" ht="12.75" customHeight="1" x14ac:dyDescent="0.2">
      <c r="B53" s="75"/>
      <c r="C53" s="75"/>
      <c r="D53" s="75"/>
      <c r="E53" s="75"/>
    </row>
    <row r="105" spans="1:6" x14ac:dyDescent="0.2">
      <c r="A105" s="21"/>
      <c r="B105" s="5"/>
      <c r="C105" s="5"/>
      <c r="D105" s="5"/>
      <c r="E105" s="5"/>
      <c r="F105" s="5"/>
    </row>
  </sheetData>
  <sheetProtection password="9523" sheet="1" objects="1" scenarios="1"/>
  <mergeCells count="4">
    <mergeCell ref="A4:K4"/>
    <mergeCell ref="I11:J11"/>
    <mergeCell ref="A5:K5"/>
    <mergeCell ref="A6:K6"/>
  </mergeCells>
  <phoneticPr fontId="0" type="noConversion"/>
  <printOptions horizontalCentered="1"/>
  <pageMargins left="0.5" right="0.5" top="0.5" bottom="0.5" header="0.25" footer="0.25"/>
  <pageSetup scale="82" fitToHeight="3" orientation="landscape" r:id="rId1"/>
  <headerFooter alignWithMargins="0">
    <oddFooter>&amp;L&amp;"Calibri,Regular"&amp;8&amp;K03-023JRT &amp;D&amp;C&amp;"Calibri,Regular"&amp;8&amp;K03-023&amp;A&amp;R&amp;"Calibri,Regular"&amp;8&amp;K03-023&amp;F</oddFooter>
  </headerFooter>
  <rowBreaks count="1" manualBreakCount="1">
    <brk id="53"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44"/>
  <sheetViews>
    <sheetView topLeftCell="A38" zoomScaleNormal="100" workbookViewId="0">
      <selection activeCell="A37" sqref="A1:XFD37"/>
    </sheetView>
  </sheetViews>
  <sheetFormatPr defaultRowHeight="12.75" x14ac:dyDescent="0.2"/>
  <cols>
    <col min="1" max="1" width="49" customWidth="1"/>
    <col min="2" max="9" width="12.7109375" customWidth="1"/>
    <col min="10" max="10" width="10.85546875" customWidth="1"/>
    <col min="12" max="12" width="11.5703125" customWidth="1"/>
  </cols>
  <sheetData>
    <row r="1" spans="1:12" ht="13.5" hidden="1" thickBot="1" x14ac:dyDescent="0.25"/>
    <row r="2" spans="1:12" ht="16.5" hidden="1" thickBot="1" x14ac:dyDescent="0.3">
      <c r="B2" s="495" t="s">
        <v>63</v>
      </c>
      <c r="C2" s="496"/>
      <c r="D2" s="496"/>
      <c r="E2" s="496"/>
      <c r="F2" s="496"/>
      <c r="G2" s="496"/>
      <c r="H2" s="496"/>
      <c r="I2" s="496"/>
      <c r="J2" s="497"/>
    </row>
    <row r="3" spans="1:12" hidden="1" x14ac:dyDescent="0.2">
      <c r="B3" s="132" t="s">
        <v>87</v>
      </c>
      <c r="C3" s="132" t="s">
        <v>86</v>
      </c>
      <c r="D3" s="132" t="s">
        <v>89</v>
      </c>
      <c r="E3" s="132" t="s">
        <v>88</v>
      </c>
      <c r="F3" s="132" t="s">
        <v>85</v>
      </c>
      <c r="G3" s="132" t="s">
        <v>84</v>
      </c>
      <c r="H3" s="132" t="s">
        <v>82</v>
      </c>
      <c r="I3" s="132" t="s">
        <v>107</v>
      </c>
      <c r="J3" s="132" t="s">
        <v>83</v>
      </c>
    </row>
    <row r="4" spans="1:12" hidden="1" x14ac:dyDescent="0.2"/>
    <row r="5" spans="1:12" hidden="1" x14ac:dyDescent="0.2"/>
    <row r="6" spans="1:12" ht="13.5" hidden="1" thickBot="1" x14ac:dyDescent="0.25"/>
    <row r="7" spans="1:12" ht="13.5" hidden="1" thickBot="1" x14ac:dyDescent="0.25">
      <c r="A7" s="133" t="s">
        <v>98</v>
      </c>
      <c r="B7" s="134">
        <f>+B18-'Intermediate-Calculations'!B36</f>
        <v>4</v>
      </c>
    </row>
    <row r="8" spans="1:12" hidden="1" x14ac:dyDescent="0.2">
      <c r="A8" s="1"/>
      <c r="B8" s="132" t="s">
        <v>87</v>
      </c>
      <c r="C8" s="33" t="s">
        <v>86</v>
      </c>
      <c r="D8" s="33" t="s">
        <v>89</v>
      </c>
      <c r="E8" s="33" t="s">
        <v>88</v>
      </c>
      <c r="F8" s="33" t="s">
        <v>85</v>
      </c>
      <c r="G8" s="33" t="s">
        <v>84</v>
      </c>
      <c r="H8" s="33" t="s">
        <v>82</v>
      </c>
      <c r="I8" s="33" t="s">
        <v>107</v>
      </c>
      <c r="J8" s="33" t="s">
        <v>83</v>
      </c>
    </row>
    <row r="9" spans="1:12" hidden="1" x14ac:dyDescent="0.2">
      <c r="A9" s="1" t="s">
        <v>40</v>
      </c>
      <c r="B9" s="57">
        <f>+'Intermediate-Calculations'!C36*($B7*Assumptions!$C$10)+'Intermediate-Calculations'!C36</f>
        <v>134749.44</v>
      </c>
      <c r="C9" s="57">
        <f>+'Intermediate-Calculations'!D36*($B7*Assumptions!$C$10)+'Intermediate-Calculations'!D36</f>
        <v>134860.68</v>
      </c>
      <c r="D9" s="57">
        <f>+'Intermediate-Calculations'!E36*($B7*Assumptions!$C$10)+'Intermediate-Calculations'!E36</f>
        <v>107856.36</v>
      </c>
      <c r="E9" s="57">
        <f>+'Intermediate-Calculations'!F36*($B7*Assumptions!$C$10)+'Intermediate-Calculations'!F36</f>
        <v>93837.96</v>
      </c>
      <c r="F9" s="57">
        <f>+'Intermediate-Calculations'!G36*($B7*Assumptions!$C$10)+'Intermediate-Calculations'!G36</f>
        <v>109653.48</v>
      </c>
      <c r="G9" s="57">
        <f>+'Intermediate-Calculations'!H36*($B7*Assumptions!$C$10)+'Intermediate-Calculations'!H36</f>
        <v>92993.4</v>
      </c>
      <c r="H9" s="57">
        <f>+'Intermediate-Calculations'!I36*($B7*Assumptions!$C$10)+'Intermediate-Calculations'!I36</f>
        <v>90871.2</v>
      </c>
      <c r="I9" s="57">
        <f>+'Intermediate-Calculations'!J36*($B7*Assumptions!$C$10)+'Intermediate-Calculations'!J36</f>
        <v>127013.4</v>
      </c>
      <c r="J9" s="57">
        <f>+'Intermediate-Calculations'!K36*($B7*Assumptions!$C$10)+'Intermediate-Calculations'!K36</f>
        <v>84392.28</v>
      </c>
    </row>
    <row r="10" spans="1:12" hidden="1" x14ac:dyDescent="0.2">
      <c r="A10" s="37" t="s">
        <v>41</v>
      </c>
      <c r="B10" s="73">
        <f>+'Intermediate-Calculations'!C37</f>
        <v>4191</v>
      </c>
      <c r="C10" s="73">
        <f>+'Intermediate-Calculations'!D37</f>
        <v>4191</v>
      </c>
      <c r="D10" s="73">
        <f>+'Intermediate-Calculations'!E37</f>
        <v>4191</v>
      </c>
      <c r="E10" s="73">
        <f>+'Intermediate-Calculations'!F37</f>
        <v>4191</v>
      </c>
      <c r="F10" s="73">
        <f>+'Intermediate-Calculations'!G37</f>
        <v>4191</v>
      </c>
      <c r="G10" s="73">
        <f>+'Intermediate-Calculations'!H37</f>
        <v>4191</v>
      </c>
      <c r="H10" s="73">
        <f>+'Intermediate-Calculations'!I37</f>
        <v>4191</v>
      </c>
      <c r="I10" s="73">
        <f>+'Intermediate-Calculations'!J37</f>
        <v>4191</v>
      </c>
      <c r="J10" s="73">
        <f>+'Intermediate-Calculations'!K37</f>
        <v>4191</v>
      </c>
    </row>
    <row r="11" spans="1:12" hidden="1" x14ac:dyDescent="0.2">
      <c r="A11" s="92"/>
      <c r="B11" s="73">
        <f>(1/3)*B10</f>
        <v>1397</v>
      </c>
      <c r="C11" s="73">
        <f t="shared" ref="C11:J11" si="0">(1/3)*C10</f>
        <v>1397</v>
      </c>
      <c r="D11" s="73">
        <f t="shared" si="0"/>
        <v>1397</v>
      </c>
      <c r="E11" s="73">
        <f t="shared" si="0"/>
        <v>1397</v>
      </c>
      <c r="F11" s="73">
        <f t="shared" si="0"/>
        <v>1397</v>
      </c>
      <c r="G11" s="73">
        <f t="shared" si="0"/>
        <v>1397</v>
      </c>
      <c r="H11" s="73">
        <f t="shared" si="0"/>
        <v>1397</v>
      </c>
      <c r="I11" s="73">
        <f t="shared" si="0"/>
        <v>1397</v>
      </c>
      <c r="J11" s="73">
        <f t="shared" si="0"/>
        <v>1397</v>
      </c>
    </row>
    <row r="12" spans="1:12" hidden="1" x14ac:dyDescent="0.2">
      <c r="A12" s="1" t="s">
        <v>42</v>
      </c>
      <c r="B12" s="1"/>
      <c r="C12" s="1"/>
      <c r="D12" s="1"/>
      <c r="E12" s="1"/>
      <c r="F12" s="1"/>
      <c r="G12" s="1"/>
      <c r="H12" s="1"/>
      <c r="I12" s="1"/>
    </row>
    <row r="13" spans="1:12" hidden="1" x14ac:dyDescent="0.2"/>
    <row r="14" spans="1:12" hidden="1" x14ac:dyDescent="0.2"/>
    <row r="15" spans="1:12" ht="13.5" hidden="1" thickBot="1" x14ac:dyDescent="0.25"/>
    <row r="16" spans="1:12" ht="13.5" hidden="1" thickBot="1" x14ac:dyDescent="0.25">
      <c r="A16" s="1"/>
      <c r="B16" s="1"/>
      <c r="C16" s="498" t="s">
        <v>48</v>
      </c>
      <c r="D16" s="499"/>
      <c r="E16" s="499"/>
      <c r="F16" s="499"/>
      <c r="G16" s="499"/>
      <c r="H16" s="499"/>
      <c r="I16" s="499"/>
      <c r="J16" s="499"/>
      <c r="K16" s="499"/>
      <c r="L16" s="500"/>
    </row>
    <row r="17" spans="1:13" ht="26.25" hidden="1" thickBot="1" x14ac:dyDescent="0.25">
      <c r="A17" s="1"/>
      <c r="B17" s="1"/>
      <c r="C17" s="239" t="s">
        <v>87</v>
      </c>
      <c r="D17" s="132" t="s">
        <v>86</v>
      </c>
      <c r="E17" s="132" t="s">
        <v>89</v>
      </c>
      <c r="F17" s="132" t="s">
        <v>88</v>
      </c>
      <c r="G17" s="132" t="s">
        <v>85</v>
      </c>
      <c r="H17" s="132" t="s">
        <v>84</v>
      </c>
      <c r="I17" s="132" t="s">
        <v>82</v>
      </c>
      <c r="J17" s="240" t="s">
        <v>107</v>
      </c>
      <c r="K17" s="240" t="s">
        <v>83</v>
      </c>
      <c r="L17" s="242" t="s">
        <v>203</v>
      </c>
    </row>
    <row r="18" spans="1:13" ht="14.25" hidden="1" thickTop="1" thickBot="1" x14ac:dyDescent="0.25">
      <c r="A18" s="1" t="s">
        <v>40</v>
      </c>
      <c r="B18" s="51">
        <f>INPUT!E6</f>
        <v>2019</v>
      </c>
      <c r="C18" s="125">
        <f>Proprietary!B9</f>
        <v>134749.44</v>
      </c>
      <c r="D18" s="125">
        <f>Proprietary!C9</f>
        <v>134860.68</v>
      </c>
      <c r="E18" s="125">
        <f>Proprietary!D9</f>
        <v>107856.36</v>
      </c>
      <c r="F18" s="125">
        <f>Proprietary!E9</f>
        <v>93837.96</v>
      </c>
      <c r="G18" s="125">
        <f>Proprietary!F9</f>
        <v>109653.48</v>
      </c>
      <c r="H18" s="125">
        <f>Proprietary!G9</f>
        <v>92993.4</v>
      </c>
      <c r="I18" s="125">
        <f>Proprietary!H9</f>
        <v>90871.2</v>
      </c>
      <c r="J18" s="125">
        <f>Proprietary!I9</f>
        <v>127013.4</v>
      </c>
      <c r="K18" s="137">
        <f>Proprietary!J9</f>
        <v>84392.28</v>
      </c>
      <c r="L18" s="241">
        <f>(K18*0.5)+(I18*0.35)+(D18*0.15)</f>
        <v>94230.161999999997</v>
      </c>
    </row>
    <row r="19" spans="1:13" ht="13.5" hidden="1" thickTop="1" x14ac:dyDescent="0.2">
      <c r="A19" s="45" t="s">
        <v>66</v>
      </c>
      <c r="B19" s="1"/>
      <c r="C19" s="125">
        <f>Proprietary!B10</f>
        <v>4191</v>
      </c>
      <c r="D19" s="53">
        <v>4300</v>
      </c>
      <c r="E19" s="53">
        <f>Proprietary!D10</f>
        <v>4191</v>
      </c>
      <c r="F19" s="53">
        <f>Proprietary!E10</f>
        <v>4191</v>
      </c>
      <c r="G19" s="53">
        <f>Proprietary!F10</f>
        <v>4191</v>
      </c>
      <c r="H19" s="53">
        <v>4300</v>
      </c>
      <c r="I19" s="53">
        <f>Proprietary!H10</f>
        <v>4191</v>
      </c>
      <c r="J19" s="53">
        <f>Proprietary!I10</f>
        <v>4191</v>
      </c>
      <c r="K19" s="126">
        <v>4300</v>
      </c>
      <c r="L19" s="126">
        <f t="shared" ref="L19:L32" si="1">AVERAGE(I19,K19)</f>
        <v>4245.5</v>
      </c>
    </row>
    <row r="20" spans="1:13" ht="13.5" hidden="1" thickBot="1" x14ac:dyDescent="0.25">
      <c r="A20" s="92" t="s">
        <v>67</v>
      </c>
      <c r="B20" s="1"/>
      <c r="C20" s="125">
        <f>Proprietary!B11</f>
        <v>1397</v>
      </c>
      <c r="D20" s="53">
        <f>+D19/3</f>
        <v>1433.3333333333333</v>
      </c>
      <c r="E20" s="53">
        <f>Proprietary!D11</f>
        <v>1397</v>
      </c>
      <c r="F20" s="53">
        <f>Proprietary!E11</f>
        <v>1397</v>
      </c>
      <c r="G20" s="53">
        <f>Proprietary!F11</f>
        <v>1397</v>
      </c>
      <c r="H20" s="53">
        <v>1433</v>
      </c>
      <c r="I20" s="53">
        <f>Proprietary!H11</f>
        <v>1397</v>
      </c>
      <c r="J20" s="53">
        <f>Proprietary!I11</f>
        <v>1397</v>
      </c>
      <c r="K20" s="126">
        <v>1433</v>
      </c>
      <c r="L20" s="126">
        <f t="shared" si="1"/>
        <v>1415</v>
      </c>
    </row>
    <row r="21" spans="1:13" ht="14.25" hidden="1" thickTop="1" thickBot="1" x14ac:dyDescent="0.25">
      <c r="A21" s="45"/>
      <c r="B21" s="51">
        <f>IF(B18="Enter Yr","Year 2",B18+1)</f>
        <v>2020</v>
      </c>
      <c r="C21" s="127">
        <f>C18*(1+Assumptions!$C$10)</f>
        <v>137444.42879999999</v>
      </c>
      <c r="D21" s="73">
        <f>D18*(1+Assumptions!$C$10)</f>
        <v>137557.89359999998</v>
      </c>
      <c r="E21" s="73">
        <f>E18*(1+Assumptions!$C$10)</f>
        <v>110013.4872</v>
      </c>
      <c r="F21" s="73">
        <f>F18*(1+Assumptions!$C$10)</f>
        <v>95714.719200000007</v>
      </c>
      <c r="G21" s="73">
        <f>G18*(1+Assumptions!$C$10)</f>
        <v>111846.5496</v>
      </c>
      <c r="H21" s="73">
        <f>H18*(1+Assumptions!$C$10)</f>
        <v>94853.267999999996</v>
      </c>
      <c r="I21" s="73">
        <f>I18*(1+Assumptions!$C$10)</f>
        <v>92688.623999999996</v>
      </c>
      <c r="J21" s="73">
        <f>J18*(1+Assumptions!$C$10)</f>
        <v>129553.66799999999</v>
      </c>
      <c r="K21" s="128">
        <f>K18*(1+Assumptions!$C$10)</f>
        <v>86080.125599999999</v>
      </c>
      <c r="L21" s="128">
        <f>(K21*0.5)+(I21*0.35)+(D21*0.15)</f>
        <v>96114.765239999993</v>
      </c>
      <c r="M21" s="1" t="s">
        <v>109</v>
      </c>
    </row>
    <row r="22" spans="1:13" ht="13.5" hidden="1" thickTop="1" x14ac:dyDescent="0.2">
      <c r="A22" s="45"/>
      <c r="B22" s="1"/>
      <c r="C22" s="127">
        <f>C19*(1+Assumptions!$C$10)</f>
        <v>4274.82</v>
      </c>
      <c r="D22" s="73">
        <f>D19*(1+Assumptions!$C$10)</f>
        <v>4386</v>
      </c>
      <c r="E22" s="73">
        <f>E19*(1+Assumptions!$C$10)</f>
        <v>4274.82</v>
      </c>
      <c r="F22" s="73">
        <f>F19*(1+Assumptions!$C$10)</f>
        <v>4274.82</v>
      </c>
      <c r="G22" s="73">
        <f>G19*(1+Assumptions!$C$10)</f>
        <v>4274.82</v>
      </c>
      <c r="H22" s="73">
        <f>H19*(1+Assumptions!$C$10)</f>
        <v>4386</v>
      </c>
      <c r="I22" s="73">
        <f>I19*(1+Assumptions!$C$10)</f>
        <v>4274.82</v>
      </c>
      <c r="J22" s="73">
        <f>J19*(1+Assumptions!$C$10)</f>
        <v>4274.82</v>
      </c>
      <c r="K22" s="128">
        <f>K19*(1+Assumptions!$C$10)</f>
        <v>4386</v>
      </c>
      <c r="L22" s="128">
        <f t="shared" si="1"/>
        <v>4330.41</v>
      </c>
    </row>
    <row r="23" spans="1:13" ht="13.5" hidden="1" thickBot="1" x14ac:dyDescent="0.25">
      <c r="A23" s="92"/>
      <c r="B23" s="1"/>
      <c r="C23" s="127">
        <f>C20*(1+Assumptions!$C$10)</f>
        <v>1424.94</v>
      </c>
      <c r="D23" s="73">
        <f>D20*(1+Assumptions!$C$10)</f>
        <v>1462</v>
      </c>
      <c r="E23" s="73">
        <f>E20*(1+Assumptions!$C$10)</f>
        <v>1424.94</v>
      </c>
      <c r="F23" s="73">
        <f>F20*(1+Assumptions!$C$10)</f>
        <v>1424.94</v>
      </c>
      <c r="G23" s="73">
        <f>G20*(1+Assumptions!$C$10)</f>
        <v>1424.94</v>
      </c>
      <c r="H23" s="73">
        <f>H20*(1+Assumptions!$C$10)</f>
        <v>1461.66</v>
      </c>
      <c r="I23" s="73">
        <f>I20*(1+Assumptions!$C$10)</f>
        <v>1424.94</v>
      </c>
      <c r="J23" s="73">
        <f>J20*(1+Assumptions!$C$10)</f>
        <v>1424.94</v>
      </c>
      <c r="K23" s="128">
        <f>K20*(1+Assumptions!$C$10)</f>
        <v>1461.66</v>
      </c>
      <c r="L23" s="128">
        <f t="shared" si="1"/>
        <v>1443.3000000000002</v>
      </c>
    </row>
    <row r="24" spans="1:13" ht="14.25" hidden="1" thickTop="1" thickBot="1" x14ac:dyDescent="0.25">
      <c r="A24" s="45"/>
      <c r="B24" s="51">
        <f>IF(B21="Enter Yr","Year 2",B21+1)</f>
        <v>2021</v>
      </c>
      <c r="C24" s="127">
        <f>C21*(1+Assumptions!$D$10)</f>
        <v>140193.31737599999</v>
      </c>
      <c r="D24" s="73">
        <f>D21*(1+Assumptions!$D$10)</f>
        <v>140309.05147199999</v>
      </c>
      <c r="E24" s="73">
        <f>E21*(1+Assumptions!$D$10)</f>
        <v>112213.75694400001</v>
      </c>
      <c r="F24" s="73">
        <f>F21*(1+Assumptions!$D$10)</f>
        <v>97629.013584000015</v>
      </c>
      <c r="G24" s="73">
        <f>G21*(1+Assumptions!$D$10)</f>
        <v>114083.48059200001</v>
      </c>
      <c r="H24" s="73">
        <f>H21*(1+Assumptions!$D$10)</f>
        <v>96750.333360000004</v>
      </c>
      <c r="I24" s="73">
        <f>I21*(1+Assumptions!$D$10)</f>
        <v>94542.396479999996</v>
      </c>
      <c r="J24" s="73">
        <f>J21*(1+Assumptions!$D$10)</f>
        <v>132144.74135999999</v>
      </c>
      <c r="K24" s="128">
        <f>K21*(1+Assumptions!$D$10)</f>
        <v>87801.728111999997</v>
      </c>
      <c r="L24" s="128">
        <f>(K24*0.5)+(I24*0.35)+(D24*0.15)</f>
        <v>98037.060544799984</v>
      </c>
    </row>
    <row r="25" spans="1:13" ht="13.5" hidden="1" thickTop="1" x14ac:dyDescent="0.2">
      <c r="A25" s="45"/>
      <c r="B25" s="1"/>
      <c r="C25" s="127">
        <f>C22*(1+Assumptions!$D$10)</f>
        <v>4360.3163999999997</v>
      </c>
      <c r="D25" s="73">
        <f>D22*(1+Assumptions!$D$10)</f>
        <v>4473.72</v>
      </c>
      <c r="E25" s="73">
        <f>E22*(1+Assumptions!$D$10)</f>
        <v>4360.3163999999997</v>
      </c>
      <c r="F25" s="73">
        <f>F22*(1+Assumptions!$D$10)</f>
        <v>4360.3163999999997</v>
      </c>
      <c r="G25" s="73">
        <f>G22*(1+Assumptions!$D$10)</f>
        <v>4360.3163999999997</v>
      </c>
      <c r="H25" s="73">
        <f>H22*(1+Assumptions!$D$10)</f>
        <v>4473.72</v>
      </c>
      <c r="I25" s="73">
        <f>I22*(1+Assumptions!$D$10)</f>
        <v>4360.3163999999997</v>
      </c>
      <c r="J25" s="73">
        <f>J22*(1+Assumptions!$D$10)</f>
        <v>4360.3163999999997</v>
      </c>
      <c r="K25" s="128">
        <f>K22*(1+Assumptions!$D$10)</f>
        <v>4473.72</v>
      </c>
      <c r="L25" s="128">
        <f t="shared" si="1"/>
        <v>4417.0182000000004</v>
      </c>
    </row>
    <row r="26" spans="1:13" ht="13.5" hidden="1" thickBot="1" x14ac:dyDescent="0.25">
      <c r="A26" s="92"/>
      <c r="B26" s="1"/>
      <c r="C26" s="127">
        <f>C23*(1+Assumptions!$D$10)</f>
        <v>1453.4388000000001</v>
      </c>
      <c r="D26" s="73">
        <f>D23*(1+Assumptions!$D$10)</f>
        <v>1491.24</v>
      </c>
      <c r="E26" s="73">
        <f>E23*(1+Assumptions!$D$10)</f>
        <v>1453.4388000000001</v>
      </c>
      <c r="F26" s="73">
        <f>F23*(1+Assumptions!$D$10)</f>
        <v>1453.4388000000001</v>
      </c>
      <c r="G26" s="73">
        <f>G23*(1+Assumptions!$D$10)</f>
        <v>1453.4388000000001</v>
      </c>
      <c r="H26" s="73">
        <f>H23*(1+Assumptions!$D$10)</f>
        <v>1490.8932000000002</v>
      </c>
      <c r="I26" s="73">
        <f>I23*(1+Assumptions!$D$10)</f>
        <v>1453.4388000000001</v>
      </c>
      <c r="J26" s="73">
        <f>J23*(1+Assumptions!$D$10)</f>
        <v>1453.4388000000001</v>
      </c>
      <c r="K26" s="128">
        <f>K23*(1+Assumptions!$D$10)</f>
        <v>1490.8932000000002</v>
      </c>
      <c r="L26" s="128">
        <f t="shared" si="1"/>
        <v>1472.1660000000002</v>
      </c>
    </row>
    <row r="27" spans="1:13" ht="14.25" hidden="1" thickTop="1" thickBot="1" x14ac:dyDescent="0.25">
      <c r="A27" s="45"/>
      <c r="B27" s="51">
        <f>IF(B24="Enter Yr","Year 2",B24+1)</f>
        <v>2022</v>
      </c>
      <c r="C27" s="127">
        <f>C24*(1+Assumptions!$E$10)</f>
        <v>142997.18372351999</v>
      </c>
      <c r="D27" s="73">
        <f>D24*(1+Assumptions!$E$10)</f>
        <v>143115.23250143998</v>
      </c>
      <c r="E27" s="73">
        <f>E24*(1+Assumptions!$E$10)</f>
        <v>114458.03208288</v>
      </c>
      <c r="F27" s="73">
        <f>F24*(1+Assumptions!$E$10)</f>
        <v>99581.59385568001</v>
      </c>
      <c r="G27" s="73">
        <f>G24*(1+Assumptions!$E$10)</f>
        <v>116365.15020384001</v>
      </c>
      <c r="H27" s="73">
        <f>H24*(1+Assumptions!$E$10)</f>
        <v>98685.3400272</v>
      </c>
      <c r="I27" s="73">
        <f>I24*(1+Assumptions!$E$10)</f>
        <v>96433.244409599996</v>
      </c>
      <c r="J27" s="73">
        <f>J24*(1+Assumptions!$E$10)</f>
        <v>134787.6361872</v>
      </c>
      <c r="K27" s="128">
        <f>K24*(1+Assumptions!$E$10)</f>
        <v>89557.762674240003</v>
      </c>
      <c r="L27" s="128">
        <f>(K27*0.5)+(I27*0.35)+(D27*0.15)</f>
        <v>99997.801755695982</v>
      </c>
    </row>
    <row r="28" spans="1:13" ht="13.5" hidden="1" thickTop="1" x14ac:dyDescent="0.2">
      <c r="A28" s="45"/>
      <c r="B28" s="1"/>
      <c r="C28" s="127">
        <f>C25*(1+Assumptions!$E$10)</f>
        <v>4447.5227279999999</v>
      </c>
      <c r="D28" s="73">
        <f>D25*(1+Assumptions!$E$10)</f>
        <v>4563.1944000000003</v>
      </c>
      <c r="E28" s="73">
        <f>E25*(1+Assumptions!$E$10)</f>
        <v>4447.5227279999999</v>
      </c>
      <c r="F28" s="73">
        <f>F25*(1+Assumptions!$E$10)</f>
        <v>4447.5227279999999</v>
      </c>
      <c r="G28" s="73">
        <f>G25*(1+Assumptions!$E$10)</f>
        <v>4447.5227279999999</v>
      </c>
      <c r="H28" s="73">
        <f>H25*(1+Assumptions!$E$10)</f>
        <v>4563.1944000000003</v>
      </c>
      <c r="I28" s="73">
        <f>I25*(1+Assumptions!$E$10)</f>
        <v>4447.5227279999999</v>
      </c>
      <c r="J28" s="73">
        <f>J25*(1+Assumptions!$E$10)</f>
        <v>4447.5227279999999</v>
      </c>
      <c r="K28" s="128">
        <f>K25*(1+Assumptions!$E$10)</f>
        <v>4563.1944000000003</v>
      </c>
      <c r="L28" s="128">
        <f t="shared" si="1"/>
        <v>4505.3585640000001</v>
      </c>
    </row>
    <row r="29" spans="1:13" ht="13.5" hidden="1" thickBot="1" x14ac:dyDescent="0.25">
      <c r="A29" s="92"/>
      <c r="B29" s="1"/>
      <c r="C29" s="127">
        <f>C26*(1+Assumptions!$E$10)</f>
        <v>1482.5075760000002</v>
      </c>
      <c r="D29" s="73">
        <f>D26*(1+Assumptions!$E$10)</f>
        <v>1521.0648000000001</v>
      </c>
      <c r="E29" s="73">
        <f>E26*(1+Assumptions!$E$10)</f>
        <v>1482.5075760000002</v>
      </c>
      <c r="F29" s="73">
        <f>F26*(1+Assumptions!$E$10)</f>
        <v>1482.5075760000002</v>
      </c>
      <c r="G29" s="73">
        <f>G26*(1+Assumptions!$E$10)</f>
        <v>1482.5075760000002</v>
      </c>
      <c r="H29" s="73">
        <f>H26*(1+Assumptions!$E$10)</f>
        <v>1520.7110640000003</v>
      </c>
      <c r="I29" s="73">
        <f>I26*(1+Assumptions!$E$10)</f>
        <v>1482.5075760000002</v>
      </c>
      <c r="J29" s="73">
        <f>J26*(1+Assumptions!$E$10)</f>
        <v>1482.5075760000002</v>
      </c>
      <c r="K29" s="128">
        <f>K26*(1+Assumptions!$E$10)</f>
        <v>1520.7110640000003</v>
      </c>
      <c r="L29" s="128">
        <f t="shared" si="1"/>
        <v>1501.6093200000003</v>
      </c>
    </row>
    <row r="30" spans="1:13" ht="14.25" hidden="1" thickTop="1" thickBot="1" x14ac:dyDescent="0.25">
      <c r="A30" s="45"/>
      <c r="B30" s="51">
        <f>IF(B27="Enter Yr","Year 2",B27+1)</f>
        <v>2023</v>
      </c>
      <c r="C30" s="127">
        <f>C27*(1+Assumptions!$F$10)</f>
        <v>145857.12739799041</v>
      </c>
      <c r="D30" s="73">
        <f>D27*(1+Assumptions!$F$10)</f>
        <v>145977.53715146877</v>
      </c>
      <c r="E30" s="73">
        <f>E27*(1+Assumptions!$F$10)</f>
        <v>116747.1927245376</v>
      </c>
      <c r="F30" s="73">
        <f>F27*(1+Assumptions!$F$10)</f>
        <v>101573.22573279361</v>
      </c>
      <c r="G30" s="73">
        <f>G27*(1+Assumptions!$F$10)</f>
        <v>118692.45320791681</v>
      </c>
      <c r="H30" s="73">
        <f>H27*(1+Assumptions!$F$10)</f>
        <v>100659.04682774401</v>
      </c>
      <c r="I30" s="73">
        <f>I27*(1+Assumptions!$F$10)</f>
        <v>98361.909297791994</v>
      </c>
      <c r="J30" s="73">
        <f>J27*(1+Assumptions!$F$10)</f>
        <v>137483.38891094399</v>
      </c>
      <c r="K30" s="128">
        <f>K27*(1+Assumptions!$F$10)</f>
        <v>91348.917927724804</v>
      </c>
      <c r="L30" s="128">
        <f>(K30*0.5)+(I30*0.35)+(D30*0.15)</f>
        <v>101997.7577908099</v>
      </c>
    </row>
    <row r="31" spans="1:13" ht="13.5" hidden="1" thickTop="1" x14ac:dyDescent="0.2">
      <c r="A31" s="45"/>
      <c r="B31" s="1"/>
      <c r="C31" s="127">
        <f>C28*(1+Assumptions!$F$10)</f>
        <v>4536.4731825600002</v>
      </c>
      <c r="D31" s="73">
        <f>D28*(1+Assumptions!$F$10)</f>
        <v>4654.4582880000007</v>
      </c>
      <c r="E31" s="73">
        <f>E28*(1+Assumptions!$F$10)</f>
        <v>4536.4731825600002</v>
      </c>
      <c r="F31" s="73">
        <f>F28*(1+Assumptions!$F$10)</f>
        <v>4536.4731825600002</v>
      </c>
      <c r="G31" s="73">
        <f>G28*(1+Assumptions!$F$10)</f>
        <v>4536.4731825600002</v>
      </c>
      <c r="H31" s="73">
        <f>H28*(1+Assumptions!$F$10)</f>
        <v>4654.4582880000007</v>
      </c>
      <c r="I31" s="73">
        <f>I28*(1+Assumptions!$F$10)</f>
        <v>4536.4731825600002</v>
      </c>
      <c r="J31" s="73">
        <f>J28*(1+Assumptions!$F$10)</f>
        <v>4536.4731825600002</v>
      </c>
      <c r="K31" s="128">
        <f>K28*(1+Assumptions!$F$10)</f>
        <v>4654.4582880000007</v>
      </c>
      <c r="L31" s="128">
        <f t="shared" si="1"/>
        <v>4595.4657352800004</v>
      </c>
    </row>
    <row r="32" spans="1:13" ht="13.5" hidden="1" thickBot="1" x14ac:dyDescent="0.25">
      <c r="C32" s="129">
        <f>C29*(1+Assumptions!$F$10)</f>
        <v>1512.1577275200002</v>
      </c>
      <c r="D32" s="130">
        <f>D29*(1+Assumptions!$F$10)</f>
        <v>1551.4860960000001</v>
      </c>
      <c r="E32" s="130">
        <f>E29*(1+Assumptions!$F$10)</f>
        <v>1512.1577275200002</v>
      </c>
      <c r="F32" s="130">
        <f>F29*(1+Assumptions!$F$10)</f>
        <v>1512.1577275200002</v>
      </c>
      <c r="G32" s="130">
        <f>G29*(1+Assumptions!$F$10)</f>
        <v>1512.1577275200002</v>
      </c>
      <c r="H32" s="130">
        <f>H29*(1+Assumptions!$F$10)</f>
        <v>1551.1252852800003</v>
      </c>
      <c r="I32" s="130">
        <f>I29*(1+Assumptions!$F$10)</f>
        <v>1512.1577275200002</v>
      </c>
      <c r="J32" s="130">
        <f>J29*(1+Assumptions!$F$10)</f>
        <v>1512.1577275200002</v>
      </c>
      <c r="K32" s="131">
        <f>K29*(1+Assumptions!$F$10)</f>
        <v>1551.1252852800003</v>
      </c>
      <c r="L32" s="131">
        <f t="shared" si="1"/>
        <v>1531.6415064000003</v>
      </c>
    </row>
    <row r="33" spans="1:12" ht="14.25" hidden="1" thickTop="1" thickBot="1" x14ac:dyDescent="0.25">
      <c r="A33" s="165"/>
      <c r="B33" s="51">
        <f>IF(B30="Enter Yr","Year 2",B30+1)</f>
        <v>2024</v>
      </c>
      <c r="C33" s="127">
        <f>C30*(1+Assumptions!$F$10)</f>
        <v>148774.26994595022</v>
      </c>
      <c r="D33" s="73">
        <f>D30*(1+Assumptions!$F$10)</f>
        <v>148897.08789449814</v>
      </c>
      <c r="E33" s="73">
        <f>E30*(1+Assumptions!$F$10)</f>
        <v>119082.13657902836</v>
      </c>
      <c r="F33" s="73">
        <f>F30*(1+Assumptions!$F$10)</f>
        <v>103604.69024744949</v>
      </c>
      <c r="G33" s="73">
        <f>G30*(1+Assumptions!$F$10)</f>
        <v>121066.30227207515</v>
      </c>
      <c r="H33" s="73">
        <f>H30*(1+Assumptions!$F$10)</f>
        <v>102672.22776429889</v>
      </c>
      <c r="I33" s="73">
        <f>I30*(1+Assumptions!$F$10)</f>
        <v>100329.14748374783</v>
      </c>
      <c r="J33" s="73">
        <f>J30*(1+Assumptions!$F$10)</f>
        <v>140233.05668916288</v>
      </c>
      <c r="K33" s="128">
        <f>K30*(1+Assumptions!$F$10)</f>
        <v>93175.896286279298</v>
      </c>
      <c r="L33" s="128">
        <f>(K33*0.5)+(I33*0.35)+(D33*0.15)</f>
        <v>104037.71294662611</v>
      </c>
    </row>
    <row r="34" spans="1:12" ht="13.5" hidden="1" thickTop="1" x14ac:dyDescent="0.2">
      <c r="A34" s="165"/>
      <c r="B34" s="154"/>
      <c r="C34" s="127">
        <f>C31*(1+Assumptions!$F$10)</f>
        <v>4627.2026462111999</v>
      </c>
      <c r="D34" s="73">
        <f>D31*(1+Assumptions!$F$10)</f>
        <v>4747.5474537600012</v>
      </c>
      <c r="E34" s="73">
        <f>E31*(1+Assumptions!$F$10)</f>
        <v>4627.2026462111999</v>
      </c>
      <c r="F34" s="73">
        <f>F31*(1+Assumptions!$F$10)</f>
        <v>4627.2026462111999</v>
      </c>
      <c r="G34" s="73">
        <f>G31*(1+Assumptions!$F$10)</f>
        <v>4627.2026462111999</v>
      </c>
      <c r="H34" s="73">
        <f>H31*(1+Assumptions!$F$10)</f>
        <v>4747.5474537600012</v>
      </c>
      <c r="I34" s="73">
        <f>I31*(1+Assumptions!$F$10)</f>
        <v>4627.2026462111999</v>
      </c>
      <c r="J34" s="73">
        <f>J31*(1+Assumptions!$F$10)</f>
        <v>4627.2026462111999</v>
      </c>
      <c r="K34" s="128">
        <f>K31*(1+Assumptions!$F$10)</f>
        <v>4747.5474537600012</v>
      </c>
      <c r="L34" s="128">
        <f>AVERAGE(I34,K34)</f>
        <v>4687.3750499856005</v>
      </c>
    </row>
    <row r="35" spans="1:12" ht="13.5" hidden="1" thickBot="1" x14ac:dyDescent="0.25">
      <c r="C35" s="129">
        <f>C32*(1+Assumptions!$F$10)</f>
        <v>1542.4008820704003</v>
      </c>
      <c r="D35" s="130">
        <f>D32*(1+Assumptions!$F$10)</f>
        <v>1582.51581792</v>
      </c>
      <c r="E35" s="130">
        <f>E32*(1+Assumptions!$F$10)</f>
        <v>1542.4008820704003</v>
      </c>
      <c r="F35" s="130">
        <f>F32*(1+Assumptions!$F$10)</f>
        <v>1542.4008820704003</v>
      </c>
      <c r="G35" s="130">
        <f>G32*(1+Assumptions!$F$10)</f>
        <v>1542.4008820704003</v>
      </c>
      <c r="H35" s="130">
        <f>H32*(1+Assumptions!$F$10)</f>
        <v>1582.1477909856003</v>
      </c>
      <c r="I35" s="130">
        <f>I32*(1+Assumptions!$F$10)</f>
        <v>1542.4008820704003</v>
      </c>
      <c r="J35" s="130">
        <f>J32*(1+Assumptions!$F$10)</f>
        <v>1542.4008820704003</v>
      </c>
      <c r="K35" s="131">
        <f>K32*(1+Assumptions!$F$10)</f>
        <v>1582.1477909856003</v>
      </c>
      <c r="L35" s="131">
        <f>AVERAGE(I35,K35)</f>
        <v>1562.2743365280003</v>
      </c>
    </row>
    <row r="36" spans="1:12" hidden="1" x14ac:dyDescent="0.2"/>
    <row r="37" spans="1:12" hidden="1" x14ac:dyDescent="0.2"/>
    <row r="38" spans="1:12" ht="15.75" x14ac:dyDescent="0.25">
      <c r="A38" s="163" t="s">
        <v>113</v>
      </c>
    </row>
    <row r="39" spans="1:12" ht="15.75" x14ac:dyDescent="0.25">
      <c r="A39" s="163" t="s">
        <v>140</v>
      </c>
    </row>
    <row r="44" spans="1:12" ht="12.75" customHeight="1" x14ac:dyDescent="0.2"/>
  </sheetData>
  <sheetProtection algorithmName="SHA-512" hashValue="fvHXbwHoJOX158qjJYU/ak6mapWySeYJipH7x4RH3IN91+za7jmoE4NVYT1bwZw2ED99FRTEYs9Uvzz94Rnolw==" saltValue="OcFVeALCFIYV7AwRIijziQ==" spinCount="100000" sheet="1" objects="1" scenarios="1" selectLockedCells="1" selectUnlockedCells="1"/>
  <mergeCells count="2">
    <mergeCell ref="B2:J2"/>
    <mergeCell ref="C16:L16"/>
  </mergeCells>
  <printOptions horizontalCentered="1"/>
  <pageMargins left="0.5" right="0.5" top="0.5" bottom="0.5" header="0.25" footer="0.25"/>
  <pageSetup scale="55" fitToHeight="2" orientation="landscape" r:id="rId1"/>
  <headerFooter>
    <oddFooter>&amp;L&amp;"Calibri,Regular"&amp;8&amp;K04-024LCR &amp;D&amp;C&amp;"Calibri,Regular"&amp;8&amp;K04-024&amp;A&amp;R&amp;"Calibri,Regular"&amp;8&amp;K04-024&amp;F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A23" sqref="A2:XFD23"/>
    </sheetView>
  </sheetViews>
  <sheetFormatPr defaultRowHeight="12.75" x14ac:dyDescent="0.2"/>
  <sheetData>
    <row r="2" spans="2:5" hidden="1" x14ac:dyDescent="0.2"/>
    <row r="3" spans="2:5" hidden="1" x14ac:dyDescent="0.2">
      <c r="B3" s="133" t="s">
        <v>114</v>
      </c>
    </row>
    <row r="4" spans="2:5" hidden="1" x14ac:dyDescent="0.2">
      <c r="B4" s="133" t="s">
        <v>200</v>
      </c>
    </row>
    <row r="5" spans="2:5" hidden="1" x14ac:dyDescent="0.2"/>
    <row r="6" spans="2:5" hidden="1" x14ac:dyDescent="0.2"/>
    <row r="7" spans="2:5" hidden="1" x14ac:dyDescent="0.2">
      <c r="B7" s="296" t="s">
        <v>282</v>
      </c>
      <c r="E7" s="296" t="s">
        <v>148</v>
      </c>
    </row>
    <row r="8" spans="2:5" hidden="1" x14ac:dyDescent="0.2">
      <c r="B8" t="s">
        <v>149</v>
      </c>
      <c r="E8" s="296" t="s">
        <v>148</v>
      </c>
    </row>
    <row r="9" spans="2:5" hidden="1" x14ac:dyDescent="0.2">
      <c r="B9" t="s">
        <v>278</v>
      </c>
      <c r="E9" s="296" t="s">
        <v>148</v>
      </c>
    </row>
    <row r="10" spans="2:5" ht="15" hidden="1" x14ac:dyDescent="0.25">
      <c r="B10" s="414" t="s">
        <v>283</v>
      </c>
      <c r="E10" s="296" t="s">
        <v>151</v>
      </c>
    </row>
    <row r="11" spans="2:5" hidden="1" x14ac:dyDescent="0.2">
      <c r="B11" t="s">
        <v>277</v>
      </c>
      <c r="E11" s="296" t="s">
        <v>151</v>
      </c>
    </row>
    <row r="12" spans="2:5" hidden="1" x14ac:dyDescent="0.2">
      <c r="B12" s="296" t="s">
        <v>284</v>
      </c>
      <c r="E12" s="296" t="s">
        <v>151</v>
      </c>
    </row>
    <row r="13" spans="2:5" hidden="1" x14ac:dyDescent="0.2">
      <c r="B13" t="s">
        <v>152</v>
      </c>
      <c r="E13" s="296" t="s">
        <v>151</v>
      </c>
    </row>
    <row r="14" spans="2:5" hidden="1" x14ac:dyDescent="0.2"/>
    <row r="15" spans="2:5" hidden="1" x14ac:dyDescent="0.2">
      <c r="B15" s="296" t="s">
        <v>231</v>
      </c>
    </row>
    <row r="16" spans="2:5" hidden="1" x14ac:dyDescent="0.2">
      <c r="B16" s="296" t="s">
        <v>237</v>
      </c>
    </row>
    <row r="17" spans="2:2" hidden="1" x14ac:dyDescent="0.2"/>
    <row r="18" spans="2:2" hidden="1" x14ac:dyDescent="0.2">
      <c r="B18" t="s">
        <v>232</v>
      </c>
    </row>
    <row r="19" spans="2:2" hidden="1" x14ac:dyDescent="0.2">
      <c r="B19" t="s">
        <v>233</v>
      </c>
    </row>
    <row r="20" spans="2:2" hidden="1" x14ac:dyDescent="0.2">
      <c r="B20" t="s">
        <v>234</v>
      </c>
    </row>
    <row r="21" spans="2:2" hidden="1" x14ac:dyDescent="0.2">
      <c r="B21" t="s">
        <v>235</v>
      </c>
    </row>
    <row r="22" spans="2:2" hidden="1" x14ac:dyDescent="0.2"/>
    <row r="23" spans="2:2" hidden="1" x14ac:dyDescent="0.2"/>
  </sheetData>
  <sheetProtection password="952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INPUT</vt:lpstr>
      <vt:lpstr>Report-Details</vt:lpstr>
      <vt:lpstr>Report-Summary</vt:lpstr>
      <vt:lpstr>Intermediate Calcs</vt:lpstr>
      <vt:lpstr>Assumptions</vt:lpstr>
      <vt:lpstr>Intermediate-Calculations</vt:lpstr>
      <vt:lpstr>Input-Expenses</vt:lpstr>
      <vt:lpstr>Proprietary</vt:lpstr>
      <vt:lpstr>developer tab</vt:lpstr>
      <vt:lpstr>Sheet2</vt:lpstr>
      <vt:lpstr>Gen Ed Requirements</vt:lpstr>
      <vt:lpstr>Sheet3</vt:lpstr>
      <vt:lpstr>Cohort</vt:lpstr>
      <vt:lpstr>Expense_increase</vt:lpstr>
      <vt:lpstr>GAP</vt:lpstr>
      <vt:lpstr>MaskTable</vt:lpstr>
      <vt:lpstr>Assumptions!Print_Area</vt:lpstr>
      <vt:lpstr>'Gen Ed Requirements'!Print_Area</vt:lpstr>
      <vt:lpstr>INPUT!Print_Area</vt:lpstr>
      <vt:lpstr>'Input-Expenses'!Print_Area</vt:lpstr>
      <vt:lpstr>'Intermediate-Calculations'!Print_Area</vt:lpstr>
      <vt:lpstr>Proprietary!Print_Area</vt:lpstr>
      <vt:lpstr>'Report-Details'!Print_Area</vt:lpstr>
      <vt:lpstr>'Report-Summary'!Print_Area</vt:lpstr>
      <vt:lpstr>programtype</vt:lpstr>
      <vt:lpstr>Student1</vt:lpstr>
      <vt:lpstr>Student2</vt:lpstr>
    </vt:vector>
  </TitlesOfParts>
  <Company>Philadelphia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dc:creator>
  <cp:lastModifiedBy>Stephanie Rankin</cp:lastModifiedBy>
  <cp:lastPrinted>2014-12-19T20:21:57Z</cp:lastPrinted>
  <dcterms:created xsi:type="dcterms:W3CDTF">2006-10-05T20:00:07Z</dcterms:created>
  <dcterms:modified xsi:type="dcterms:W3CDTF">2016-02-29T14:43:57Z</dcterms:modified>
</cp:coreProperties>
</file>