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\\main\Shares\FA\CTO_General\Sponsored Program Accounting\Forms_SPA\"/>
    </mc:Choice>
  </mc:AlternateContent>
  <xr:revisionPtr revIDLastSave="0" documentId="8_{82B42E1F-10A2-4904-95D3-8BB6C8BF0F74}" xr6:coauthVersionLast="47" xr6:coauthVersionMax="47" xr10:uidLastSave="{00000000-0000-0000-0000-000000000000}"/>
  <bookViews>
    <workbookView xWindow="29895" yWindow="1140" windowWidth="27705" windowHeight="15060" xr2:uid="{00000000-000D-0000-FFFF-FFFF00000000}"/>
  </bookViews>
  <sheets>
    <sheet name="EAF" sheetId="1" r:id="rId1"/>
    <sheet name="A216810396964DCDB399904ED81BA8E" sheetId="3" state="veryHidden" r:id="rId2"/>
    <sheet name="Dropdowns" sheetId="2" state="hidden" r:id="rId3"/>
  </sheets>
  <definedNames>
    <definedName name="_xlnm.Print_Area" localSheetId="0">EAF!$A$1:$M$95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" i="1" l="1"/>
  <c r="C71" i="1"/>
  <c r="C61" i="1"/>
  <c r="C51" i="1"/>
  <c r="C41" i="1"/>
  <c r="C31" i="1"/>
  <c r="C21" i="1"/>
  <c r="E7" i="1" l="1"/>
  <c r="M5" i="1"/>
  <c r="M7" i="1" s="1"/>
  <c r="O65" i="1" l="1"/>
  <c r="O55" i="1"/>
  <c r="O45" i="1"/>
  <c r="O35" i="1"/>
  <c r="O25" i="1"/>
  <c r="O15" i="1"/>
  <c r="D21" i="1" l="1"/>
  <c r="K15" i="2" l="1"/>
  <c r="K14" i="2"/>
  <c r="K13" i="2"/>
  <c r="K12" i="2"/>
  <c r="G15" i="2" l="1"/>
  <c r="G14" i="2"/>
  <c r="G13" i="2"/>
  <c r="G12" i="2"/>
  <c r="K16" i="2"/>
  <c r="F15" i="2"/>
  <c r="G16" i="2" l="1"/>
  <c r="G10" i="2"/>
  <c r="G2" i="2" s="1"/>
  <c r="G3" i="2"/>
  <c r="C23" i="1"/>
  <c r="D22" i="1"/>
  <c r="G5" i="2"/>
  <c r="G7" i="2"/>
  <c r="F10" i="2"/>
  <c r="F4" i="2" s="1"/>
  <c r="H10" i="2"/>
  <c r="H3" i="2" s="1"/>
  <c r="I10" i="2"/>
  <c r="I3" i="2" s="1"/>
  <c r="J10" i="2"/>
  <c r="J5" i="2" s="1"/>
  <c r="K10" i="2"/>
  <c r="K3" i="2" s="1"/>
  <c r="F12" i="2"/>
  <c r="H12" i="2"/>
  <c r="I12" i="2"/>
  <c r="J12" i="2"/>
  <c r="F13" i="2"/>
  <c r="H13" i="2"/>
  <c r="I13" i="2"/>
  <c r="J13" i="2"/>
  <c r="F14" i="2"/>
  <c r="H14" i="2"/>
  <c r="I14" i="2"/>
  <c r="J14" i="2"/>
  <c r="H15" i="2"/>
  <c r="I15" i="2"/>
  <c r="J15" i="2"/>
  <c r="D31" i="1"/>
  <c r="D32" i="1" s="1"/>
  <c r="C33" i="1"/>
  <c r="D41" i="1"/>
  <c r="C43" i="1"/>
  <c r="D51" i="1"/>
  <c r="C53" i="1"/>
  <c r="D61" i="1"/>
  <c r="D62" i="1" s="1"/>
  <c r="C63" i="1"/>
  <c r="D71" i="1"/>
  <c r="D72" i="1" s="1"/>
  <c r="C73" i="1"/>
  <c r="K2" i="2" l="1"/>
  <c r="J6" i="2"/>
  <c r="J4" i="2"/>
  <c r="K6" i="2"/>
  <c r="F7" i="2"/>
  <c r="I4" i="2"/>
  <c r="F2" i="2"/>
  <c r="F5" i="2"/>
  <c r="H4" i="2"/>
  <c r="F3" i="2"/>
  <c r="H2" i="2"/>
  <c r="I16" i="2"/>
  <c r="I6" i="2"/>
  <c r="H16" i="2"/>
  <c r="H6" i="2"/>
  <c r="F16" i="2"/>
  <c r="K4" i="2"/>
  <c r="J2" i="2"/>
  <c r="I2" i="2"/>
  <c r="G6" i="2"/>
  <c r="F6" i="2"/>
  <c r="G4" i="2"/>
  <c r="K7" i="2"/>
  <c r="K5" i="2"/>
  <c r="J3" i="2"/>
  <c r="J7" i="2"/>
  <c r="I7" i="2"/>
  <c r="I5" i="2"/>
  <c r="J16" i="2"/>
  <c r="H7" i="2"/>
  <c r="H5" i="2"/>
  <c r="C42" i="1"/>
  <c r="C62" i="1"/>
  <c r="D63" i="1" s="1"/>
  <c r="L58" i="1" s="1"/>
  <c r="M61" i="1" s="1"/>
  <c r="C32" i="1"/>
  <c r="D33" i="1" s="1"/>
  <c r="L28" i="1" s="1"/>
  <c r="M31" i="1" s="1"/>
  <c r="C72" i="1"/>
  <c r="D73" i="1" s="1"/>
  <c r="L68" i="1" s="1"/>
  <c r="M71" i="1" s="1"/>
  <c r="C20" i="1"/>
  <c r="C70" i="1"/>
  <c r="D52" i="1"/>
  <c r="C50" i="1" s="1"/>
  <c r="D42" i="1"/>
  <c r="C40" i="1" s="1"/>
  <c r="C30" i="1"/>
  <c r="C60" i="1"/>
  <c r="M73" i="1"/>
  <c r="C22" i="1" l="1"/>
  <c r="D23" i="1" s="1"/>
  <c r="L18" i="1" s="1"/>
  <c r="C52" i="1"/>
  <c r="D53" i="1" s="1"/>
  <c r="L48" i="1" s="1"/>
  <c r="M51" i="1" s="1"/>
  <c r="M33" i="1"/>
  <c r="M32" i="1"/>
  <c r="M34" i="1"/>
  <c r="M72" i="1"/>
  <c r="M74" i="1"/>
  <c r="D43" i="1"/>
  <c r="L38" i="1" s="1"/>
  <c r="M41" i="1" s="1"/>
  <c r="M63" i="1"/>
  <c r="M62" i="1"/>
  <c r="M64" i="1"/>
  <c r="M22" i="1" l="1"/>
  <c r="M21" i="1"/>
  <c r="M23" i="1"/>
  <c r="M24" i="1"/>
  <c r="K82" i="1"/>
  <c r="K83" i="1"/>
  <c r="M54" i="1"/>
  <c r="M44" i="1"/>
  <c r="M53" i="1"/>
  <c r="M52" i="1"/>
  <c r="M42" i="1"/>
  <c r="M43" i="1"/>
  <c r="K79" i="1" l="1"/>
  <c r="L79" i="1" s="1"/>
  <c r="K81" i="1"/>
  <c r="M81" i="1" s="1"/>
  <c r="K80" i="1"/>
  <c r="M80" i="1" s="1"/>
  <c r="K78" i="1"/>
  <c r="L78" i="1" s="1"/>
  <c r="K85" i="1" l="1"/>
  <c r="L85" i="1" s="1"/>
  <c r="L81" i="1"/>
  <c r="M79" i="1"/>
  <c r="L80" i="1"/>
  <c r="M78" i="1"/>
  <c r="M8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E. Beiter</author>
  </authors>
  <commentList>
    <comment ref="C2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Value per PP</t>
        </r>
      </text>
    </comment>
    <comment ref="C2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Check for maximum available summer months (12-AY contract)*2
</t>
        </r>
      </text>
    </comment>
    <comment ref="D2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Total PP's based on dates</t>
        </r>
      </text>
    </comment>
    <comment ref="C3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Value per PP</t>
        </r>
      </text>
    </comment>
    <comment ref="C3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Check for maximum available summer months (12-AY contract)*2
</t>
        </r>
      </text>
    </comment>
    <comment ref="D33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Total PP's based on dates</t>
        </r>
      </text>
    </comment>
    <comment ref="C4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Value per PP</t>
        </r>
      </text>
    </comment>
    <comment ref="C43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Check for maximum available summer months (12-AY contract)*2
</t>
        </r>
      </text>
    </comment>
    <comment ref="D4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Total PP's based on dates</t>
        </r>
      </text>
    </comment>
    <comment ref="C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Value per PP</t>
        </r>
      </text>
    </comment>
    <comment ref="C53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Check for maximum available summer months (12-AY contract)*2
</t>
        </r>
      </text>
    </comment>
    <comment ref="D5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Total PP's based on dates</t>
        </r>
      </text>
    </comment>
    <comment ref="C6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Value per PP</t>
        </r>
      </text>
    </comment>
    <comment ref="C63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Check for maximum available summer months (12-AY contract)*2
</t>
        </r>
      </text>
    </comment>
    <comment ref="D6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Total PP's based on dates</t>
        </r>
      </text>
    </comment>
    <comment ref="C7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Value per PP</t>
        </r>
      </text>
    </comment>
    <comment ref="C73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Check for maximum available summer months (12-AY contract)*2
</t>
        </r>
      </text>
    </comment>
    <comment ref="D73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Stephanie E. Beiter:</t>
        </r>
        <r>
          <rPr>
            <sz val="9"/>
            <color indexed="81"/>
            <rFont val="Tahoma"/>
            <family val="2"/>
          </rPr>
          <t xml:space="preserve">
Total PP's based on dates</t>
        </r>
      </text>
    </comment>
  </commentList>
</comments>
</file>

<file path=xl/sharedStrings.xml><?xml version="1.0" encoding="utf-8"?>
<sst xmlns="http://schemas.openxmlformats.org/spreadsheetml/2006/main" count="189" uniqueCount="71">
  <si>
    <t>Name:</t>
  </si>
  <si>
    <t>Home Dept. Number:</t>
  </si>
  <si>
    <t>Max. Summer Salary:</t>
  </si>
  <si>
    <t>Yes</t>
  </si>
  <si>
    <t>No</t>
  </si>
  <si>
    <t>Select One</t>
  </si>
  <si>
    <t>ENT</t>
  </si>
  <si>
    <t>DEPT</t>
  </si>
  <si>
    <t>OBJ</t>
  </si>
  <si>
    <t>FEC</t>
  </si>
  <si>
    <t>PROJ</t>
  </si>
  <si>
    <t>PROG</t>
  </si>
  <si>
    <t>Date:</t>
  </si>
  <si>
    <t>% Effort</t>
  </si>
  <si>
    <t>Contract Amount</t>
  </si>
  <si>
    <t xml:space="preserve"> </t>
  </si>
  <si>
    <t>Jun 1</t>
  </si>
  <si>
    <t>Jun 16</t>
  </si>
  <si>
    <t>July 1</t>
  </si>
  <si>
    <t>July 16</t>
  </si>
  <si>
    <t>Aug 1</t>
  </si>
  <si>
    <t>May 31</t>
  </si>
  <si>
    <t>Jun 15</t>
  </si>
  <si>
    <t>Jun 30</t>
  </si>
  <si>
    <t>July 15</t>
  </si>
  <si>
    <t>July 31</t>
  </si>
  <si>
    <t>01</t>
  </si>
  <si>
    <t>00000</t>
  </si>
  <si>
    <t>Start Date</t>
  </si>
  <si>
    <t>End Date</t>
  </si>
  <si>
    <t>Include total of all previously submitted payments:</t>
  </si>
  <si>
    <t>Preparer Name:</t>
  </si>
  <si>
    <t>SPA Approval:</t>
  </si>
  <si>
    <t>May:</t>
  </si>
  <si>
    <t xml:space="preserve">June: </t>
  </si>
  <si>
    <t>July:</t>
  </si>
  <si>
    <t>August:</t>
  </si>
  <si>
    <t>Total:</t>
  </si>
  <si>
    <t>May</t>
  </si>
  <si>
    <t>June</t>
  </si>
  <si>
    <t>July</t>
  </si>
  <si>
    <t>Aug</t>
  </si>
  <si>
    <t>Oracle Account Number:</t>
  </si>
  <si>
    <t xml:space="preserve">If processing a paper EAF, please collect appropriate approvals. All Sponsored Projects must have PI approval for each award. </t>
  </si>
  <si>
    <t>Approval:</t>
  </si>
  <si>
    <t>Supervisor*:</t>
  </si>
  <si>
    <t>*only req'd if individual receiving SS is also the dept. approver</t>
  </si>
  <si>
    <t>Sponsored Projects Total:</t>
  </si>
  <si>
    <t>Other Total:</t>
  </si>
  <si>
    <t>Max. Summer Salary Sponsored Projects 
(3XXXX - ZXXXX) 90%:</t>
  </si>
  <si>
    <t>Commitments</t>
  </si>
  <si>
    <t>Dollars</t>
  </si>
  <si>
    <t>%</t>
  </si>
  <si>
    <t>Aug 15</t>
  </si>
  <si>
    <t xml:space="preserve">During the summer, a 9-month faculty member may be paid by RIT no more than a total of 33.33% (pro-rated for other appointments) of the faculty member's current AY salary. 
Faculty effort on sponsored activity is limited to 90% over the summer period.  Exceptions approving faculty effort greater than 90% during the summer may be granted upon submission and approval of the plan of work summer form. This limit also applies to the percentage that is pro-rated for faculty members with appointments greater than 9 months but less than 12 months. </t>
  </si>
  <si>
    <t>Address</t>
  </si>
  <si>
    <t>ValueType</t>
  </si>
  <si>
    <t>Value</t>
  </si>
  <si>
    <t>Project delineations</t>
  </si>
  <si>
    <t>Non-SPA</t>
  </si>
  <si>
    <t>SPA</t>
  </si>
  <si>
    <t>A0000</t>
  </si>
  <si>
    <t>Z9999</t>
  </si>
  <si>
    <t>2023-24 AY Contract:</t>
  </si>
  <si>
    <t>May 16</t>
  </si>
  <si>
    <r>
      <rPr>
        <b/>
        <sz val="14"/>
        <color indexed="8"/>
        <rFont val="Arial Narrow"/>
        <family val="2"/>
      </rPr>
      <t>2025 Summer Salary Employee Action Form (EAF)</t>
    </r>
    <r>
      <rPr>
        <sz val="11"/>
        <color indexed="8"/>
        <rFont val="Arial Narrow"/>
        <family val="2"/>
      </rPr>
      <t xml:space="preserve">
Effective dates May 16 through August 15</t>
    </r>
  </si>
  <si>
    <t>2024-25 Academic Year (AY) Salary:</t>
  </si>
  <si>
    <t>Has this faculty member submitted additional summer salary payments for Summer 2025?</t>
  </si>
  <si>
    <t>3000A</t>
  </si>
  <si>
    <t>3999A</t>
  </si>
  <si>
    <t xml:space="preserve">NIH Salary cap level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</si>
</sst>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0.0%"/>
    <numFmt numFmtId="166" formatCode="0.000"/>
  </numFmts>
  <fonts count="1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Arial Narrow"/>
      <family val="2"/>
    </font>
    <font>
      <sz val="11"/>
      <name val="Arial Narrow"/>
      <family val="2"/>
    </font>
    <font>
      <b/>
      <sz val="14"/>
      <color indexed="8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9"/>
      <color theme="1"/>
      <name val="Arial Narrow"/>
      <family val="2"/>
    </font>
    <font>
      <sz val="11"/>
      <color rgb="FFFF0000"/>
      <name val="Arial Narrow"/>
      <family val="2"/>
    </font>
    <font>
      <sz val="11"/>
      <color rgb="FFAD3D0B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medium">
        <color indexed="64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/>
      <right style="medium">
        <color indexed="64"/>
      </right>
      <top style="thin">
        <color theme="0" tint="-0.34998626667073579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84">
    <xf numFmtId="0" fontId="0" fillId="0" borderId="0" xfId="0"/>
    <xf numFmtId="164" fontId="0" fillId="0" borderId="0" xfId="0" quotePrefix="1" applyNumberFormat="1"/>
    <xf numFmtId="0" fontId="7" fillId="0" borderId="0" xfId="0" applyFont="1" applyProtection="1"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/>
      <protection hidden="1"/>
    </xf>
    <xf numFmtId="43" fontId="7" fillId="0" borderId="0" xfId="1" applyFont="1" applyFill="1" applyAlignment="1" applyProtection="1">
      <alignment horizontal="center"/>
      <protection hidden="1"/>
    </xf>
    <xf numFmtId="2" fontId="7" fillId="0" borderId="0" xfId="0" applyNumberFormat="1" applyFont="1" applyAlignment="1" applyProtection="1">
      <alignment horizontal="center"/>
      <protection hidden="1"/>
    </xf>
    <xf numFmtId="0" fontId="7" fillId="0" borderId="1" xfId="0" applyFont="1" applyBorder="1" applyProtection="1">
      <protection hidden="1"/>
    </xf>
    <xf numFmtId="0" fontId="7" fillId="0" borderId="2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0" borderId="4" xfId="0" applyFont="1" applyBorder="1" applyProtection="1">
      <protection hidden="1"/>
    </xf>
    <xf numFmtId="43" fontId="7" fillId="0" borderId="0" xfId="1" applyFont="1" applyBorder="1" applyProtection="1">
      <protection hidden="1"/>
    </xf>
    <xf numFmtId="0" fontId="7" fillId="0" borderId="5" xfId="0" applyFont="1" applyBorder="1" applyProtection="1">
      <protection hidden="1"/>
    </xf>
    <xf numFmtId="43" fontId="7" fillId="0" borderId="5" xfId="1" applyFont="1" applyBorder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 vertical="top"/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7" fillId="0" borderId="0" xfId="0" applyFont="1" applyAlignment="1" applyProtection="1">
      <alignment horizontal="right"/>
      <protection hidden="1"/>
    </xf>
    <xf numFmtId="44" fontId="7" fillId="0" borderId="0" xfId="2" applyFont="1" applyBorder="1" applyAlignment="1" applyProtection="1"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wrapText="1"/>
      <protection hidden="1"/>
    </xf>
    <xf numFmtId="0" fontId="9" fillId="0" borderId="0" xfId="0" applyFont="1" applyAlignment="1" applyProtection="1">
      <alignment wrapText="1"/>
      <protection hidden="1"/>
    </xf>
    <xf numFmtId="44" fontId="7" fillId="0" borderId="5" xfId="2" applyFont="1" applyBorder="1" applyAlignment="1" applyProtection="1">
      <protection hidden="1"/>
    </xf>
    <xf numFmtId="44" fontId="7" fillId="0" borderId="0" xfId="2" applyFont="1" applyAlignment="1" applyProtection="1">
      <protection hidden="1"/>
    </xf>
    <xf numFmtId="43" fontId="7" fillId="0" borderId="0" xfId="1" applyFont="1" applyAlignment="1" applyProtection="1">
      <protection hidden="1"/>
    </xf>
    <xf numFmtId="43" fontId="7" fillId="0" borderId="3" xfId="1" applyFont="1" applyBorder="1" applyProtection="1">
      <protection hidden="1"/>
    </xf>
    <xf numFmtId="43" fontId="7" fillId="0" borderId="10" xfId="1" applyFont="1" applyBorder="1" applyAlignment="1" applyProtection="1">
      <protection hidden="1"/>
    </xf>
    <xf numFmtId="0" fontId="7" fillId="2" borderId="6" xfId="0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center"/>
      <protection locked="0"/>
    </xf>
    <xf numFmtId="0" fontId="7" fillId="2" borderId="10" xfId="0" applyFont="1" applyFill="1" applyBorder="1" applyProtection="1">
      <protection locked="0"/>
    </xf>
    <xf numFmtId="0" fontId="7" fillId="2" borderId="0" xfId="0" applyFont="1" applyFill="1" applyProtection="1">
      <protection hidden="1"/>
    </xf>
    <xf numFmtId="0" fontId="10" fillId="0" borderId="0" xfId="0" applyFont="1" applyProtection="1">
      <protection hidden="1"/>
    </xf>
    <xf numFmtId="0" fontId="10" fillId="0" borderId="0" xfId="0" applyFont="1" applyAlignment="1" applyProtection="1">
      <alignment wrapText="1"/>
      <protection hidden="1"/>
    </xf>
    <xf numFmtId="0" fontId="10" fillId="0" borderId="0" xfId="0" applyFont="1" applyAlignment="1" applyProtection="1">
      <alignment horizontal="left"/>
      <protection hidden="1"/>
    </xf>
    <xf numFmtId="0" fontId="10" fillId="0" borderId="0" xfId="0" applyFont="1" applyAlignment="1" applyProtection="1">
      <alignment horizontal="left" wrapText="1"/>
      <protection hidden="1"/>
    </xf>
    <xf numFmtId="43" fontId="7" fillId="2" borderId="10" xfId="1" applyFont="1" applyFill="1" applyBorder="1" applyAlignment="1" applyProtection="1"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43" fontId="7" fillId="2" borderId="10" xfId="1" applyFont="1" applyFill="1" applyBorder="1" applyAlignment="1" applyProtection="1">
      <alignment horizontal="right" vertical="center"/>
      <protection locked="0"/>
    </xf>
    <xf numFmtId="0" fontId="7" fillId="0" borderId="7" xfId="0" applyFont="1" applyBorder="1" applyProtection="1">
      <protection hidden="1"/>
    </xf>
    <xf numFmtId="44" fontId="7" fillId="0" borderId="7" xfId="2" applyFont="1" applyBorder="1" applyAlignment="1" applyProtection="1">
      <protection hidden="1"/>
    </xf>
    <xf numFmtId="0" fontId="7" fillId="0" borderId="1" xfId="0" quotePrefix="1" applyFont="1" applyBorder="1" applyAlignment="1" applyProtection="1">
      <alignment horizontal="center"/>
      <protection hidden="1"/>
    </xf>
    <xf numFmtId="0" fontId="7" fillId="2" borderId="11" xfId="0" applyFont="1" applyFill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/>
      <protection locked="0"/>
    </xf>
    <xf numFmtId="9" fontId="7" fillId="0" borderId="0" xfId="3" applyFont="1" applyProtection="1">
      <protection hidden="1"/>
    </xf>
    <xf numFmtId="9" fontId="7" fillId="0" borderId="7" xfId="3" applyFont="1" applyBorder="1" applyProtection="1">
      <protection hidden="1"/>
    </xf>
    <xf numFmtId="9" fontId="7" fillId="0" borderId="5" xfId="3" applyFont="1" applyBorder="1" applyProtection="1">
      <protection hidden="1"/>
    </xf>
    <xf numFmtId="164" fontId="7" fillId="2" borderId="10" xfId="0" quotePrefix="1" applyNumberFormat="1" applyFont="1" applyFill="1" applyBorder="1" applyAlignment="1" applyProtection="1">
      <alignment horizontal="center"/>
      <protection locked="0"/>
    </xf>
    <xf numFmtId="166" fontId="0" fillId="0" borderId="0" xfId="0" applyNumberFormat="1"/>
    <xf numFmtId="0" fontId="11" fillId="0" borderId="0" xfId="0" applyFont="1"/>
    <xf numFmtId="0" fontId="7" fillId="0" borderId="0" xfId="0" applyFont="1" applyAlignment="1" applyProtection="1">
      <alignment horizontal="right"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0" fontId="12" fillId="0" borderId="0" xfId="0" applyFont="1" applyAlignment="1" applyProtection="1">
      <alignment horizontal="right" wrapText="1"/>
      <protection hidden="1"/>
    </xf>
    <xf numFmtId="0" fontId="4" fillId="0" borderId="4" xfId="0" applyFont="1" applyBorder="1" applyProtection="1">
      <protection hidden="1"/>
    </xf>
    <xf numFmtId="43" fontId="7" fillId="0" borderId="3" xfId="1" applyFont="1" applyFill="1" applyBorder="1" applyProtection="1">
      <protection hidden="1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43" fontId="7" fillId="0" borderId="0" xfId="1" applyFont="1" applyAlignment="1" applyProtection="1">
      <alignment horizontal="center"/>
      <protection hidden="1"/>
    </xf>
    <xf numFmtId="0" fontId="7" fillId="0" borderId="1" xfId="0" applyFont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 wrapText="1"/>
      <protection hidden="1"/>
    </xf>
    <xf numFmtId="0" fontId="10" fillId="0" borderId="5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7" fillId="0" borderId="13" xfId="0" applyFont="1" applyBorder="1" applyAlignment="1" applyProtection="1">
      <alignment horizontal="center"/>
      <protection hidden="1"/>
    </xf>
    <xf numFmtId="0" fontId="7" fillId="2" borderId="5" xfId="0" applyFont="1" applyFill="1" applyBorder="1" applyAlignment="1" applyProtection="1">
      <alignment horizontal="center"/>
      <protection locked="0"/>
    </xf>
    <xf numFmtId="44" fontId="7" fillId="0" borderId="0" xfId="2" applyFont="1" applyBorder="1" applyAlignment="1" applyProtection="1">
      <alignment horizontal="center"/>
      <protection hidden="1"/>
    </xf>
    <xf numFmtId="44" fontId="7" fillId="0" borderId="3" xfId="2" applyFont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2" borderId="1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hidden="1"/>
    </xf>
    <xf numFmtId="0" fontId="7" fillId="0" borderId="0" xfId="0" applyFont="1" applyAlignment="1" applyProtection="1">
      <alignment horizontal="right" wrapText="1"/>
      <protection hidden="1"/>
    </xf>
    <xf numFmtId="0" fontId="10" fillId="0" borderId="0" xfId="0" applyFont="1" applyAlignment="1" applyProtection="1">
      <alignment horizontal="center" wrapText="1"/>
      <protection hidden="1"/>
    </xf>
    <xf numFmtId="165" fontId="7" fillId="2" borderId="10" xfId="3" applyNumberFormat="1" applyFont="1" applyFill="1" applyBorder="1" applyAlignment="1" applyProtection="1">
      <alignment horizontal="center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10" fillId="0" borderId="0" xfId="0" applyFont="1" applyAlignment="1" applyProtection="1">
      <alignment horizontal="left" wrapText="1"/>
      <protection hidden="1"/>
    </xf>
    <xf numFmtId="0" fontId="7" fillId="0" borderId="8" xfId="0" applyFont="1" applyBorder="1" applyAlignment="1" applyProtection="1">
      <alignment horizontal="center" vertical="top"/>
      <protection hidden="1"/>
    </xf>
    <xf numFmtId="0" fontId="7" fillId="0" borderId="4" xfId="0" applyFont="1" applyBorder="1" applyAlignment="1" applyProtection="1">
      <alignment horizontal="center" vertical="top"/>
      <protection hidden="1"/>
    </xf>
    <xf numFmtId="0" fontId="7" fillId="0" borderId="9" xfId="0" applyFont="1" applyBorder="1" applyAlignment="1" applyProtection="1">
      <alignment horizontal="center" vertical="top"/>
      <protection hidden="1"/>
    </xf>
    <xf numFmtId="0" fontId="3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top" wrapText="1"/>
      <protection hidden="1"/>
    </xf>
    <xf numFmtId="0" fontId="7" fillId="0" borderId="0" xfId="0" applyFont="1" applyAlignment="1" applyProtection="1">
      <alignment horizontal="left" vertical="top"/>
      <protection hidden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7">
    <dxf>
      <font>
        <color rgb="FFFF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FF4F4F"/>
        </patternFill>
      </fill>
    </dxf>
    <dxf>
      <font>
        <color rgb="FFAD3D0B"/>
      </font>
    </dxf>
    <dxf>
      <font>
        <color rgb="FFAD3D0B"/>
      </font>
    </dxf>
    <dxf>
      <font>
        <color rgb="FFAD3D0B"/>
      </font>
    </dxf>
    <dxf>
      <font>
        <color rgb="FFAD3D0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705556</xdr:colOff>
      <xdr:row>0</xdr:row>
      <xdr:rowOff>0</xdr:rowOff>
    </xdr:from>
    <xdr:to>
      <xdr:col>12</xdr:col>
      <xdr:colOff>1165508</xdr:colOff>
      <xdr:row>1</xdr:row>
      <xdr:rowOff>35423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46334" y="0"/>
          <a:ext cx="2166056" cy="543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P94"/>
  <sheetViews>
    <sheetView showGridLines="0" tabSelected="1" zoomScale="90" zoomScaleNormal="90" zoomScaleSheetLayoutView="100" zoomScalePageLayoutView="80" workbookViewId="0">
      <selection activeCell="M9" sqref="M9"/>
    </sheetView>
  </sheetViews>
  <sheetFormatPr defaultColWidth="9.21875" defaultRowHeight="13.8" x14ac:dyDescent="0.25"/>
  <cols>
    <col min="1" max="1" width="1.77734375" style="2" customWidth="1"/>
    <col min="2" max="2" width="2.44140625" style="15" customWidth="1"/>
    <col min="3" max="3" width="18" style="2" customWidth="1"/>
    <col min="4" max="4" width="18.44140625" style="2" customWidth="1"/>
    <col min="5" max="5" width="12.77734375" style="2" customWidth="1"/>
    <col min="6" max="7" width="9.21875" style="2" customWidth="1"/>
    <col min="8" max="8" width="1.44140625" style="2" customWidth="1"/>
    <col min="9" max="9" width="10.21875" style="2" bestFit="1" customWidth="1"/>
    <col min="10" max="10" width="1.5546875" style="2" customWidth="1"/>
    <col min="11" max="11" width="12.77734375" style="2" customWidth="1"/>
    <col min="12" max="12" width="11.5546875" style="2" customWidth="1"/>
    <col min="13" max="13" width="36.44140625" style="2" customWidth="1"/>
    <col min="14" max="14" width="9.21875" style="2"/>
    <col min="15" max="15" width="16.77734375" style="2" bestFit="1" customWidth="1"/>
    <col min="16" max="17" width="47.33203125" style="2" bestFit="1" customWidth="1"/>
    <col min="18" max="16384" width="9.21875" style="2"/>
  </cols>
  <sheetData>
    <row r="1" spans="2:16" ht="40.200000000000003" customHeight="1" x14ac:dyDescent="0.3">
      <c r="C1" s="79" t="s">
        <v>65</v>
      </c>
      <c r="D1" s="60"/>
      <c r="E1" s="60"/>
      <c r="F1" s="60"/>
      <c r="G1" s="60"/>
      <c r="H1" s="60"/>
      <c r="I1" s="60"/>
      <c r="J1" s="60"/>
      <c r="K1" s="60"/>
      <c r="L1" s="60"/>
      <c r="M1" s="53"/>
      <c r="O1" s="18" t="s">
        <v>70</v>
      </c>
    </row>
    <row r="2" spans="2:16" x14ac:dyDescent="0.25">
      <c r="O2" s="58">
        <v>221900</v>
      </c>
    </row>
    <row r="3" spans="2:16" x14ac:dyDescent="0.25">
      <c r="C3" s="2" t="s">
        <v>0</v>
      </c>
      <c r="D3" s="68"/>
      <c r="E3" s="68"/>
      <c r="F3" s="68"/>
      <c r="I3" s="69" t="s">
        <v>66</v>
      </c>
      <c r="J3" s="69"/>
      <c r="K3" s="69"/>
      <c r="L3" s="69"/>
      <c r="M3" s="36"/>
      <c r="P3" s="2" t="str">
        <f>IF(+M3&gt;O2,"Check to see if PI has NIH Projects - NIH Salary cap will apply","")</f>
        <v/>
      </c>
    </row>
    <row r="4" spans="2:16" x14ac:dyDescent="0.25">
      <c r="D4" s="3"/>
      <c r="E4" s="3"/>
      <c r="F4" s="3"/>
      <c r="G4" s="4"/>
      <c r="H4" s="4"/>
      <c r="I4" s="4"/>
      <c r="J4" s="4"/>
      <c r="K4" s="4"/>
      <c r="M4" s="5"/>
    </row>
    <row r="5" spans="2:16" x14ac:dyDescent="0.25">
      <c r="C5" s="2" t="s">
        <v>1</v>
      </c>
      <c r="D5" s="68"/>
      <c r="E5" s="68"/>
      <c r="F5" s="68"/>
      <c r="I5" s="69" t="s">
        <v>2</v>
      </c>
      <c r="J5" s="69"/>
      <c r="K5" s="69"/>
      <c r="L5" s="69"/>
      <c r="M5" s="27" t="e">
        <f>M3*((12-D7)/D7)</f>
        <v>#DIV/0!</v>
      </c>
    </row>
    <row r="6" spans="2:16" x14ac:dyDescent="0.25">
      <c r="D6" s="6"/>
      <c r="E6" s="6"/>
      <c r="F6" s="6"/>
      <c r="G6" s="4"/>
      <c r="H6" s="4"/>
      <c r="I6" s="4"/>
      <c r="J6" s="4"/>
      <c r="K6" s="4"/>
      <c r="M6" s="5"/>
    </row>
    <row r="7" spans="2:16" ht="14.1" customHeight="1" x14ac:dyDescent="0.25">
      <c r="C7" s="2" t="s">
        <v>63</v>
      </c>
      <c r="D7" s="30"/>
      <c r="E7" s="71" t="str">
        <f>IF(D7=12, "12 mo. Faculty are ineligible to receive Summer Salary", "")</f>
        <v/>
      </c>
      <c r="F7" s="71"/>
      <c r="G7" s="71"/>
      <c r="I7" s="70" t="s">
        <v>49</v>
      </c>
      <c r="J7" s="70"/>
      <c r="K7" s="70"/>
      <c r="L7" s="70"/>
      <c r="M7" s="27" t="e">
        <f>M5*0.9</f>
        <v>#DIV/0!</v>
      </c>
    </row>
    <row r="8" spans="2:16" x14ac:dyDescent="0.25">
      <c r="E8" s="71"/>
      <c r="F8" s="71"/>
      <c r="G8" s="71"/>
      <c r="H8" s="21"/>
      <c r="I8" s="70"/>
      <c r="J8" s="70"/>
      <c r="K8" s="70"/>
      <c r="L8" s="70"/>
      <c r="M8" s="25"/>
    </row>
    <row r="9" spans="2:16" ht="30" customHeight="1" x14ac:dyDescent="0.25">
      <c r="C9" s="80" t="s">
        <v>67</v>
      </c>
      <c r="D9" s="80"/>
      <c r="E9" s="80"/>
      <c r="F9" s="37" t="s">
        <v>5</v>
      </c>
      <c r="I9" s="20"/>
      <c r="J9" s="20"/>
      <c r="K9" s="81" t="s">
        <v>30</v>
      </c>
      <c r="L9" s="81"/>
      <c r="M9" s="38"/>
    </row>
    <row r="10" spans="2:16" x14ac:dyDescent="0.25">
      <c r="E10" s="52"/>
      <c r="F10" s="52"/>
      <c r="G10" s="52"/>
      <c r="H10" s="21"/>
      <c r="I10" s="51"/>
      <c r="J10" s="51"/>
      <c r="K10" s="51"/>
      <c r="L10" s="51"/>
      <c r="M10" s="25"/>
    </row>
    <row r="11" spans="2:16" ht="14.1" customHeight="1" x14ac:dyDescent="0.25">
      <c r="B11" s="82" t="s">
        <v>54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</row>
    <row r="12" spans="2:16" x14ac:dyDescent="0.25">
      <c r="B12" s="82"/>
      <c r="C12" s="83"/>
      <c r="D12" s="83"/>
      <c r="E12" s="83"/>
      <c r="F12" s="83"/>
      <c r="G12" s="83"/>
      <c r="H12" s="83"/>
      <c r="I12" s="83"/>
      <c r="J12" s="83"/>
      <c r="K12" s="83"/>
      <c r="L12" s="83"/>
      <c r="M12" s="83"/>
    </row>
    <row r="13" spans="2:16" ht="39" customHeight="1" x14ac:dyDescent="0.25">
      <c r="B13" s="83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</row>
    <row r="14" spans="2:16" ht="14.4" thickBot="1" x14ac:dyDescent="0.3"/>
    <row r="15" spans="2:16" x14ac:dyDescent="0.25">
      <c r="B15" s="76">
        <v>1</v>
      </c>
      <c r="C15" s="59" t="s">
        <v>42</v>
      </c>
      <c r="D15" s="41" t="s">
        <v>26</v>
      </c>
      <c r="E15" s="42"/>
      <c r="F15" s="43">
        <v>70550</v>
      </c>
      <c r="G15" s="42"/>
      <c r="H15" s="44">
        <v>32634</v>
      </c>
      <c r="I15" s="42"/>
      <c r="J15" s="43"/>
      <c r="K15" s="41" t="s">
        <v>27</v>
      </c>
      <c r="L15" s="7"/>
      <c r="M15" s="8"/>
      <c r="O15" s="2" t="str">
        <f>(VLOOKUP(I15,Dropdowns!$N$2:$P$13,3))</f>
        <v>Non-SPA</v>
      </c>
    </row>
    <row r="16" spans="2:16" x14ac:dyDescent="0.25">
      <c r="B16" s="77"/>
      <c r="C16" s="60"/>
      <c r="D16" s="16" t="s">
        <v>6</v>
      </c>
      <c r="E16" s="16" t="s">
        <v>7</v>
      </c>
      <c r="F16" s="16" t="s">
        <v>8</v>
      </c>
      <c r="G16" s="16" t="s">
        <v>9</v>
      </c>
      <c r="H16" s="16"/>
      <c r="I16" s="16" t="s">
        <v>10</v>
      </c>
      <c r="J16" s="16"/>
      <c r="K16" s="16" t="s">
        <v>11</v>
      </c>
      <c r="M16" s="9"/>
    </row>
    <row r="17" spans="2:15" x14ac:dyDescent="0.25">
      <c r="B17" s="77"/>
      <c r="M17" s="9"/>
    </row>
    <row r="18" spans="2:15" x14ac:dyDescent="0.25">
      <c r="B18" s="77"/>
      <c r="C18" s="48" t="s">
        <v>64</v>
      </c>
      <c r="D18" s="29"/>
      <c r="G18" s="72"/>
      <c r="H18" s="72"/>
      <c r="I18" s="72"/>
      <c r="L18" s="65">
        <f>(($M$3*D23)*G18)</f>
        <v>0</v>
      </c>
      <c r="M18" s="66"/>
    </row>
    <row r="19" spans="2:15" x14ac:dyDescent="0.25">
      <c r="B19" s="77"/>
      <c r="C19" s="16" t="s">
        <v>28</v>
      </c>
      <c r="D19" s="16" t="s">
        <v>29</v>
      </c>
      <c r="G19" s="67" t="s">
        <v>13</v>
      </c>
      <c r="H19" s="67"/>
      <c r="I19" s="67"/>
      <c r="L19" s="62" t="s">
        <v>14</v>
      </c>
      <c r="M19" s="63"/>
    </row>
    <row r="20" spans="2:15" ht="14.4" thickBot="1" x14ac:dyDescent="0.3">
      <c r="B20" s="78"/>
      <c r="C20" s="61" t="str">
        <f>IF(C23&lt;D22,"Exceeds maximum available summer months","")</f>
        <v/>
      </c>
      <c r="D20" s="61"/>
      <c r="E20" s="12" t="s">
        <v>44</v>
      </c>
      <c r="F20" s="64"/>
      <c r="G20" s="64"/>
      <c r="H20" s="64"/>
      <c r="I20" s="64"/>
      <c r="J20" s="64"/>
      <c r="K20" s="64"/>
      <c r="L20" s="12" t="s">
        <v>12</v>
      </c>
      <c r="M20" s="28"/>
    </row>
    <row r="21" spans="2:15" hidden="1" x14ac:dyDescent="0.25">
      <c r="C21" s="54">
        <f>IF(C18="May 16",1,IF(C18="Jun 1",2,IF(C18="Jun 16",3,IF(C18="July 1",4,IF(C18="July 16",5,IF(C18="Aug 1",6))))))</f>
        <v>1</v>
      </c>
      <c r="D21" s="14" t="b">
        <f>IF(D18="May 31",2,IF(D18="Jun 15",3,IF(D18="Jun 30",4,IF(D18="July 15",5,IF(D18="July 31",6,IF(D18="Aug 15",7))))))</f>
        <v>0</v>
      </c>
      <c r="L21" s="2" t="s">
        <v>38</v>
      </c>
      <c r="M21" s="55">
        <f>IF(C18="May 16",L18/D22,0)</f>
        <v>0</v>
      </c>
    </row>
    <row r="22" spans="2:15" hidden="1" x14ac:dyDescent="0.25">
      <c r="C22" s="10" t="b">
        <f>(IF($D$7=9,Dropdowns!$F$2,IF($D$7=9.5,Dropdowns!$G$2,IF($D$7=10,Dropdowns!$H$2,IF($D$7=10.5,Dropdowns!$I$2,IF($D$7=11,Dropdowns!$J$2,IF($D$7=11.5,Dropdowns!$K$2)))))))</f>
        <v>0</v>
      </c>
      <c r="D22" s="2">
        <f>D21-C21</f>
        <v>-1</v>
      </c>
      <c r="L22" s="2" t="s">
        <v>39</v>
      </c>
      <c r="M22" s="55">
        <f>IF(OR(D18="May 31",C18="July 1",C18="July 16", C18="Aug 1"),0,IF(D18="Jun 15",L18/D22,IF(C18="Jun 16",L18/D22,IF(AND(C18="Jun 16",D18="Jun 30"),L18/D22,IF(AND(D18&lt;&gt;"Jun 15"),(L18/D22)*2,0)))))</f>
        <v>0</v>
      </c>
    </row>
    <row r="23" spans="2:15" hidden="1" x14ac:dyDescent="0.25">
      <c r="C23" s="10">
        <f>(12-$D$7)*2</f>
        <v>24</v>
      </c>
      <c r="D23" s="2">
        <f>D22*C22</f>
        <v>0</v>
      </c>
      <c r="L23" s="2" t="s">
        <v>40</v>
      </c>
      <c r="M23" s="55">
        <f>IF(OR(D18="June 30",C18="June 1",C18="June 16",C18="Aug 1"),0,IF(D18="July 15",L18/D22,IF(C18="July 16",L18/D22,IF(AND(D18="July 31",C18&lt;&gt;"July 16"),(L18/D22)*2,IF(AND(D18="Aug 15",C18&lt;&gt;"July 16"),(L18/D22)*2,0)))))</f>
        <v>0</v>
      </c>
    </row>
    <row r="24" spans="2:15" ht="14.4" hidden="1" thickBot="1" x14ac:dyDescent="0.3">
      <c r="C24" s="10"/>
      <c r="L24" s="2" t="s">
        <v>41</v>
      </c>
      <c r="M24" s="55">
        <f>IF(D18="Aug 15",L18/D22,0)</f>
        <v>0</v>
      </c>
    </row>
    <row r="25" spans="2:15" x14ac:dyDescent="0.25">
      <c r="B25" s="76">
        <v>2</v>
      </c>
      <c r="C25" s="59" t="s">
        <v>42</v>
      </c>
      <c r="D25" s="41" t="s">
        <v>26</v>
      </c>
      <c r="E25" s="42"/>
      <c r="F25" s="43">
        <v>70550</v>
      </c>
      <c r="G25" s="42"/>
      <c r="H25" s="44"/>
      <c r="I25" s="42"/>
      <c r="J25" s="43"/>
      <c r="K25" s="41" t="s">
        <v>27</v>
      </c>
      <c r="L25" s="7"/>
      <c r="M25" s="8"/>
      <c r="O25" s="2" t="str">
        <f>(VLOOKUP(I25,Dropdowns!$N$2:$P$13,3))</f>
        <v>Non-SPA</v>
      </c>
    </row>
    <row r="26" spans="2:15" x14ac:dyDescent="0.25">
      <c r="B26" s="77"/>
      <c r="C26" s="60"/>
      <c r="D26" s="16" t="s">
        <v>6</v>
      </c>
      <c r="E26" s="16" t="s">
        <v>7</v>
      </c>
      <c r="F26" s="16" t="s">
        <v>8</v>
      </c>
      <c r="G26" s="16" t="s">
        <v>9</v>
      </c>
      <c r="H26" s="16"/>
      <c r="I26" s="16" t="s">
        <v>10</v>
      </c>
      <c r="J26" s="16"/>
      <c r="K26" s="16" t="s">
        <v>11</v>
      </c>
      <c r="M26" s="9"/>
    </row>
    <row r="27" spans="2:15" x14ac:dyDescent="0.25">
      <c r="B27" s="77"/>
      <c r="M27" s="9"/>
    </row>
    <row r="28" spans="2:15" x14ac:dyDescent="0.25">
      <c r="B28" s="77"/>
      <c r="C28" s="48" t="s">
        <v>64</v>
      </c>
      <c r="D28" s="29"/>
      <c r="G28" s="72"/>
      <c r="H28" s="72"/>
      <c r="I28" s="72"/>
      <c r="L28" s="65">
        <f>(($M$3*D33)*G28)</f>
        <v>0</v>
      </c>
      <c r="M28" s="66"/>
    </row>
    <row r="29" spans="2:15" x14ac:dyDescent="0.25">
      <c r="B29" s="77"/>
      <c r="C29" s="16" t="s">
        <v>28</v>
      </c>
      <c r="D29" s="16" t="s">
        <v>29</v>
      </c>
      <c r="G29" s="67" t="s">
        <v>13</v>
      </c>
      <c r="H29" s="67"/>
      <c r="I29" s="67"/>
      <c r="L29" s="62" t="s">
        <v>14</v>
      </c>
      <c r="M29" s="63"/>
    </row>
    <row r="30" spans="2:15" ht="14.4" thickBot="1" x14ac:dyDescent="0.3">
      <c r="B30" s="78"/>
      <c r="C30" s="61" t="str">
        <f>IF(C33&lt;D32,"Exceeds maximum available summer months","")</f>
        <v/>
      </c>
      <c r="D30" s="61"/>
      <c r="E30" s="12" t="s">
        <v>44</v>
      </c>
      <c r="F30" s="64"/>
      <c r="G30" s="64"/>
      <c r="H30" s="64"/>
      <c r="I30" s="64"/>
      <c r="J30" s="64"/>
      <c r="K30" s="64"/>
      <c r="L30" s="12" t="s">
        <v>12</v>
      </c>
      <c r="M30" s="28"/>
    </row>
    <row r="31" spans="2:15" hidden="1" x14ac:dyDescent="0.25">
      <c r="C31" s="10">
        <f>IF(C28="May 16",1,IF(C28="Jun 1",2,IF(C28="Jun 16",3,IF(C28="July 1",4,IF(C28="July 16",5,IF(C28="Aug 1",6))))))</f>
        <v>1</v>
      </c>
      <c r="D31" s="2" t="b">
        <f>IF(D28="May 31",2,IF(D28="Jun 15",3,IF(D28="Jun 30",4,IF(D28="July 15",5,IF(D28="July 31",6,IF(D28="Aug 15",7))))))</f>
        <v>0</v>
      </c>
      <c r="L31" s="2" t="s">
        <v>38</v>
      </c>
      <c r="M31" s="26">
        <f>IF(C28="May 16",L28/D32,0)</f>
        <v>0</v>
      </c>
    </row>
    <row r="32" spans="2:15" hidden="1" x14ac:dyDescent="0.25">
      <c r="C32" s="10" t="b">
        <f>(IF($D$7=9,Dropdowns!$F$2,IF($D$7=9.5,Dropdowns!$G$2,IF($D$7=10,Dropdowns!$H$2,IF($D$7=10.5,Dropdowns!$I$2,IF($D$7=11,Dropdowns!$J$2,IF($D$7=11.5,Dropdowns!$K$2)))))))</f>
        <v>0</v>
      </c>
      <c r="D32" s="2">
        <f>D31-C31</f>
        <v>-1</v>
      </c>
      <c r="L32" s="2" t="s">
        <v>39</v>
      </c>
      <c r="M32" s="26">
        <f>IF(OR(D28="May 31",C28="July 1",C28="July 16", C28="Aug 1"),0,IF(D28="Jun 15",L28/D32,IF(C28="Jun 16",L28/D32,IF(AND(C28="Jun 16",D28="Jun 30"),L28/D32,IF(AND(D28&lt;&gt;"Jun 15"),(L28/D32)*2,0)))))</f>
        <v>0</v>
      </c>
    </row>
    <row r="33" spans="2:15" hidden="1" x14ac:dyDescent="0.25">
      <c r="C33" s="10">
        <f>(12-$D$7)*2</f>
        <v>24</v>
      </c>
      <c r="D33" s="2">
        <f>D32*C32</f>
        <v>0</v>
      </c>
      <c r="L33" s="2" t="s">
        <v>40</v>
      </c>
      <c r="M33" s="26">
        <f>IF(OR(D28="June 30",C28="June 1",C28="June 16",C28="Aug 1"),0,IF(D28="July 15",L28/D32,IF(C28="July 16",L28/D32,IF(AND(D28="July 31",C28&lt;&gt;"July 16"),(L28/D32)*2,IF(AND(D28="Aug 15",C28&lt;&gt;"July 16"),(L28/D32)*2,0)))))</f>
        <v>0</v>
      </c>
    </row>
    <row r="34" spans="2:15" ht="14.4" hidden="1" thickBot="1" x14ac:dyDescent="0.3">
      <c r="C34" s="10"/>
      <c r="L34" s="2" t="s">
        <v>41</v>
      </c>
      <c r="M34" s="26">
        <f>IF(D28="Aug 15",L28/D32,0)</f>
        <v>0</v>
      </c>
    </row>
    <row r="35" spans="2:15" x14ac:dyDescent="0.25">
      <c r="B35" s="76">
        <v>3</v>
      </c>
      <c r="C35" s="59" t="s">
        <v>42</v>
      </c>
      <c r="D35" s="41" t="s">
        <v>26</v>
      </c>
      <c r="E35" s="42"/>
      <c r="F35" s="43">
        <v>70550</v>
      </c>
      <c r="G35" s="42"/>
      <c r="H35" s="44"/>
      <c r="I35" s="42"/>
      <c r="J35" s="43"/>
      <c r="K35" s="41" t="s">
        <v>27</v>
      </c>
      <c r="L35" s="7"/>
      <c r="M35" s="8"/>
      <c r="O35" s="2" t="str">
        <f>(VLOOKUP(I35,Dropdowns!$N$2:$P$13,3))</f>
        <v>Non-SPA</v>
      </c>
    </row>
    <row r="36" spans="2:15" x14ac:dyDescent="0.25">
      <c r="B36" s="77"/>
      <c r="C36" s="60"/>
      <c r="D36" s="16" t="s">
        <v>6</v>
      </c>
      <c r="E36" s="16" t="s">
        <v>7</v>
      </c>
      <c r="F36" s="16" t="s">
        <v>8</v>
      </c>
      <c r="G36" s="16" t="s">
        <v>9</v>
      </c>
      <c r="H36" s="16"/>
      <c r="I36" s="16"/>
      <c r="J36" s="16"/>
      <c r="K36" s="16" t="s">
        <v>11</v>
      </c>
      <c r="M36" s="9"/>
    </row>
    <row r="37" spans="2:15" x14ac:dyDescent="0.25">
      <c r="B37" s="77"/>
      <c r="M37" s="9"/>
    </row>
    <row r="38" spans="2:15" x14ac:dyDescent="0.25">
      <c r="B38" s="77"/>
      <c r="C38" s="48" t="s">
        <v>64</v>
      </c>
      <c r="D38" s="29"/>
      <c r="G38" s="72"/>
      <c r="H38" s="72"/>
      <c r="I38" s="72"/>
      <c r="L38" s="65">
        <f>(($M$3*D43)*G38)</f>
        <v>0</v>
      </c>
      <c r="M38" s="66"/>
    </row>
    <row r="39" spans="2:15" x14ac:dyDescent="0.25">
      <c r="B39" s="77"/>
      <c r="C39" s="16" t="s">
        <v>28</v>
      </c>
      <c r="D39" s="16" t="s">
        <v>29</v>
      </c>
      <c r="G39" s="67" t="s">
        <v>13</v>
      </c>
      <c r="H39" s="67"/>
      <c r="I39" s="67"/>
      <c r="L39" s="62" t="s">
        <v>14</v>
      </c>
      <c r="M39" s="63"/>
    </row>
    <row r="40" spans="2:15" ht="14.4" thickBot="1" x14ac:dyDescent="0.3">
      <c r="B40" s="78"/>
      <c r="C40" s="61" t="str">
        <f>IF(C43&lt;D42,"Exceeds maximum available summer months","")</f>
        <v/>
      </c>
      <c r="D40" s="61"/>
      <c r="E40" s="12" t="s">
        <v>44</v>
      </c>
      <c r="F40" s="64"/>
      <c r="G40" s="64"/>
      <c r="H40" s="64"/>
      <c r="I40" s="64"/>
      <c r="J40" s="64"/>
      <c r="K40" s="64"/>
      <c r="L40" s="12" t="s">
        <v>12</v>
      </c>
      <c r="M40" s="28"/>
    </row>
    <row r="41" spans="2:15" hidden="1" x14ac:dyDescent="0.25">
      <c r="C41" s="10">
        <f>IF(C38="May 16",1,IF(C38="Jun 1",2,IF(C38="Jun 16",3,IF(C38="July 1",4,IF(C38="July 16",5,IF(C38="Aug 1",6))))))</f>
        <v>1</v>
      </c>
      <c r="D41" s="2" t="b">
        <f>IF(D38="May 31",2,IF(D38="Jun 15",3,IF(D38="Jun 30",4,IF(D38="July 15",5,IF(D38="July 31",6,IF(D38="Aug 15",7))))))</f>
        <v>0</v>
      </c>
      <c r="L41" s="2" t="s">
        <v>38</v>
      </c>
      <c r="M41" s="26">
        <f>IF(C38="May 16",L38/D42,0)</f>
        <v>0</v>
      </c>
    </row>
    <row r="42" spans="2:15" hidden="1" x14ac:dyDescent="0.25">
      <c r="C42" s="10" t="b">
        <f>(IF($D$7=9,Dropdowns!$F$2,IF($D$7=9.5,Dropdowns!$G$2,IF($D$7=10,Dropdowns!$H$2,IF($D$7=10.5,Dropdowns!$I$2,IF($D$7=11,Dropdowns!$J$2,IF($D$7=11.5,Dropdowns!$K$2)))))))</f>
        <v>0</v>
      </c>
      <c r="D42" s="2">
        <f>D41-C41</f>
        <v>-1</v>
      </c>
      <c r="L42" s="2" t="s">
        <v>39</v>
      </c>
      <c r="M42" s="26">
        <f>IF(OR(D38="May 31",C38="July 1",C38="July 16", C38="Aug 1"),0,IF(D38="Jun 15",L38/D42,IF(C38="Jun 16",L38/D42,IF(AND(C38="Jun 16",D38="Jun 30"),L38/D42,IF(AND(D38&lt;&gt;"Jun 15"),(L38/D42)*2,0)))))</f>
        <v>0</v>
      </c>
    </row>
    <row r="43" spans="2:15" hidden="1" x14ac:dyDescent="0.25">
      <c r="C43" s="2">
        <f>(12-$D$7)*2</f>
        <v>24</v>
      </c>
      <c r="D43" s="2">
        <f>D42*C42</f>
        <v>0</v>
      </c>
      <c r="L43" s="2" t="s">
        <v>40</v>
      </c>
      <c r="M43" s="26">
        <f>IF(OR(D38="June 30",C38="June 1",C38="June 16",C38="Aug 1"),0,IF(D38="July 15",L38/D42,IF(C38="July 16",L38/D42,IF(AND(D38="July 31",C38&lt;&gt;"July 16"),(L38/D42)*2,IF(AND(D38="Aug 15",C38&lt;&gt;"July 16"),(L38/D42)*2,0)))))</f>
        <v>0</v>
      </c>
    </row>
    <row r="44" spans="2:15" ht="14.4" hidden="1" thickBot="1" x14ac:dyDescent="0.3">
      <c r="L44" s="2" t="s">
        <v>41</v>
      </c>
      <c r="M44" s="26">
        <f>IF(D38="Aug 15",L38/D42,0)</f>
        <v>0</v>
      </c>
    </row>
    <row r="45" spans="2:15" x14ac:dyDescent="0.25">
      <c r="B45" s="76">
        <v>4</v>
      </c>
      <c r="C45" s="59" t="s">
        <v>42</v>
      </c>
      <c r="D45" s="41" t="s">
        <v>26</v>
      </c>
      <c r="E45" s="42"/>
      <c r="F45" s="43">
        <v>70550</v>
      </c>
      <c r="G45" s="42"/>
      <c r="H45" s="44"/>
      <c r="I45" s="42"/>
      <c r="J45" s="43"/>
      <c r="K45" s="41" t="s">
        <v>27</v>
      </c>
      <c r="L45" s="7"/>
      <c r="M45" s="8"/>
      <c r="O45" s="2" t="str">
        <f>(VLOOKUP(I45,Dropdowns!$N$2:$P$13,3))</f>
        <v>Non-SPA</v>
      </c>
    </row>
    <row r="46" spans="2:15" x14ac:dyDescent="0.25">
      <c r="B46" s="77"/>
      <c r="C46" s="60"/>
      <c r="D46" s="16" t="s">
        <v>6</v>
      </c>
      <c r="E46" s="16" t="s">
        <v>7</v>
      </c>
      <c r="F46" s="16" t="s">
        <v>8</v>
      </c>
      <c r="G46" s="16" t="s">
        <v>9</v>
      </c>
      <c r="H46" s="16"/>
      <c r="I46" s="16" t="s">
        <v>10</v>
      </c>
      <c r="J46" s="16"/>
      <c r="K46" s="16" t="s">
        <v>11</v>
      </c>
      <c r="M46" s="9"/>
    </row>
    <row r="47" spans="2:15" x14ac:dyDescent="0.25">
      <c r="B47" s="77"/>
      <c r="M47" s="9"/>
    </row>
    <row r="48" spans="2:15" x14ac:dyDescent="0.25">
      <c r="B48" s="77"/>
      <c r="C48" s="48" t="s">
        <v>64</v>
      </c>
      <c r="D48" s="29"/>
      <c r="G48" s="72"/>
      <c r="H48" s="72"/>
      <c r="I48" s="72"/>
      <c r="L48" s="65">
        <f>(($M$3*D53)*G48)</f>
        <v>0</v>
      </c>
      <c r="M48" s="66"/>
    </row>
    <row r="49" spans="2:15" x14ac:dyDescent="0.25">
      <c r="B49" s="77"/>
      <c r="C49" s="16" t="s">
        <v>28</v>
      </c>
      <c r="D49" s="16" t="s">
        <v>29</v>
      </c>
      <c r="G49" s="67" t="s">
        <v>13</v>
      </c>
      <c r="H49" s="67"/>
      <c r="I49" s="67"/>
      <c r="L49" s="62" t="s">
        <v>14</v>
      </c>
      <c r="M49" s="63"/>
    </row>
    <row r="50" spans="2:15" ht="14.4" thickBot="1" x14ac:dyDescent="0.3">
      <c r="B50" s="78"/>
      <c r="C50" s="61" t="str">
        <f>IF(C53&lt;D52,"Exceeds maximum available summer months","")</f>
        <v/>
      </c>
      <c r="D50" s="61"/>
      <c r="E50" s="12" t="s">
        <v>44</v>
      </c>
      <c r="F50" s="64"/>
      <c r="G50" s="64"/>
      <c r="H50" s="64"/>
      <c r="I50" s="64"/>
      <c r="J50" s="64"/>
      <c r="K50" s="64"/>
      <c r="L50" s="12" t="s">
        <v>12</v>
      </c>
      <c r="M50" s="28"/>
    </row>
    <row r="51" spans="2:15" hidden="1" x14ac:dyDescent="0.25">
      <c r="C51" s="10">
        <f>IF(C48="May 16",1,IF(C48="Jun 1",2,IF(C48="Jun 16",3,IF(C48="July 1",4,IF(C48="July 16",5,IF(C48="Aug 1",6))))))</f>
        <v>1</v>
      </c>
      <c r="D51" s="2" t="b">
        <f>IF(D48="May 31",2,IF(D48="Jun 15",3,IF(D48="Jun 30",4,IF(D48="July 15",5,IF(D48="July 31",6,IF(D48="Aug 15",7))))))</f>
        <v>0</v>
      </c>
      <c r="L51" s="2" t="s">
        <v>38</v>
      </c>
      <c r="M51" s="26">
        <f>IF(C48="May 16",L48/D52,0)</f>
        <v>0</v>
      </c>
    </row>
    <row r="52" spans="2:15" hidden="1" x14ac:dyDescent="0.25">
      <c r="C52" s="10" t="b">
        <f>(IF($D$7=9,Dropdowns!$F$2,IF($D$7=9.5,Dropdowns!$G$2,IF($D$7=10,Dropdowns!$H$2,IF($D$7=10.5,Dropdowns!$I$2,IF($D$7=11,Dropdowns!$J$2,IF($D$7=11.5,Dropdowns!$K$2)))))))</f>
        <v>0</v>
      </c>
      <c r="D52" s="2">
        <f>D51-C51</f>
        <v>-1</v>
      </c>
      <c r="L52" s="2" t="s">
        <v>39</v>
      </c>
      <c r="M52" s="26">
        <f>IF(OR(D48="May 31",C48="July 1",C48="July 16", C48="Aug 1"),0,IF(D48="Jun 15",L48/D52,IF(C48="Jun 16",L48/D52,IF(AND(C48="Jun 16",D48="Jun 30"),L48/D52,IF(AND(D48&lt;&gt;"Jun 15"),(L48/D52)*2,0)))))</f>
        <v>0</v>
      </c>
    </row>
    <row r="53" spans="2:15" hidden="1" x14ac:dyDescent="0.25">
      <c r="C53" s="10">
        <f>(12-$D$7)*2</f>
        <v>24</v>
      </c>
      <c r="D53" s="2">
        <f>D52*C52</f>
        <v>0</v>
      </c>
      <c r="L53" s="2" t="s">
        <v>40</v>
      </c>
      <c r="M53" s="26">
        <f>IF(OR(D48="June 30",C48="June 1",C48="June 16",C48="Aug 1"),0,IF(D48="July 15",L48/D52,IF(C48="July 16",L48/D52,IF(AND(D48="July 31",C48&lt;&gt;"July 16"),(L48/D52)*2,IF(AND(D48="Aug 15",C48&lt;&gt;"July 16"),(L48/D52)*2,0)))))</f>
        <v>0</v>
      </c>
    </row>
    <row r="54" spans="2:15" ht="14.4" hidden="1" thickBot="1" x14ac:dyDescent="0.3">
      <c r="C54" s="10"/>
      <c r="L54" s="2" t="s">
        <v>41</v>
      </c>
      <c r="M54" s="26">
        <f>IF(D48="Aug 15",L48/D52,0)</f>
        <v>0</v>
      </c>
    </row>
    <row r="55" spans="2:15" x14ac:dyDescent="0.25">
      <c r="B55" s="76">
        <v>5</v>
      </c>
      <c r="C55" s="59" t="s">
        <v>42</v>
      </c>
      <c r="D55" s="41" t="s">
        <v>26</v>
      </c>
      <c r="E55" s="42"/>
      <c r="F55" s="43">
        <v>70550</v>
      </c>
      <c r="G55" s="42"/>
      <c r="H55" s="44"/>
      <c r="I55" s="42"/>
      <c r="J55" s="43"/>
      <c r="K55" s="41" t="s">
        <v>27</v>
      </c>
      <c r="L55" s="7"/>
      <c r="M55" s="8"/>
      <c r="O55" s="2" t="str">
        <f>(VLOOKUP(I55,Dropdowns!$N$2:$P$13,3))</f>
        <v>Non-SPA</v>
      </c>
    </row>
    <row r="56" spans="2:15" x14ac:dyDescent="0.25">
      <c r="B56" s="77"/>
      <c r="C56" s="60"/>
      <c r="D56" s="16" t="s">
        <v>6</v>
      </c>
      <c r="E56" s="16" t="s">
        <v>7</v>
      </c>
      <c r="F56" s="16" t="s">
        <v>8</v>
      </c>
      <c r="G56" s="16" t="s">
        <v>9</v>
      </c>
      <c r="H56" s="16"/>
      <c r="I56" s="16" t="s">
        <v>10</v>
      </c>
      <c r="J56" s="16"/>
      <c r="K56" s="16" t="s">
        <v>11</v>
      </c>
      <c r="M56" s="9"/>
    </row>
    <row r="57" spans="2:15" x14ac:dyDescent="0.25">
      <c r="B57" s="77"/>
      <c r="M57" s="9"/>
    </row>
    <row r="58" spans="2:15" x14ac:dyDescent="0.25">
      <c r="B58" s="77"/>
      <c r="C58" s="48" t="s">
        <v>64</v>
      </c>
      <c r="D58" s="29"/>
      <c r="G58" s="72"/>
      <c r="H58" s="72"/>
      <c r="I58" s="72"/>
      <c r="L58" s="65">
        <f>(($M$3*D63)*G58)</f>
        <v>0</v>
      </c>
      <c r="M58" s="66"/>
    </row>
    <row r="59" spans="2:15" x14ac:dyDescent="0.25">
      <c r="B59" s="77"/>
      <c r="C59" s="16" t="s">
        <v>28</v>
      </c>
      <c r="D59" s="16" t="s">
        <v>29</v>
      </c>
      <c r="G59" s="67" t="s">
        <v>13</v>
      </c>
      <c r="H59" s="67"/>
      <c r="I59" s="67"/>
      <c r="L59" s="62" t="s">
        <v>14</v>
      </c>
      <c r="M59" s="63"/>
    </row>
    <row r="60" spans="2:15" ht="14.4" thickBot="1" x14ac:dyDescent="0.3">
      <c r="B60" s="78"/>
      <c r="C60" s="61" t="str">
        <f>IF(C63&lt;D62,"Exceeds maximum available summer months","")</f>
        <v/>
      </c>
      <c r="D60" s="61"/>
      <c r="E60" s="12" t="s">
        <v>44</v>
      </c>
      <c r="F60" s="64"/>
      <c r="G60" s="64"/>
      <c r="H60" s="64"/>
      <c r="I60" s="64"/>
      <c r="J60" s="64"/>
      <c r="K60" s="64"/>
      <c r="L60" s="12" t="s">
        <v>12</v>
      </c>
      <c r="M60" s="28"/>
    </row>
    <row r="61" spans="2:15" hidden="1" x14ac:dyDescent="0.25">
      <c r="C61" s="10">
        <f>IF(C58="May 16",1,IF(C58="Jun 1",2,IF(C58="Jun 16",3,IF(C58="July 1",4,IF(C58="July 16",5,IF(C58="Aug 1",6))))))</f>
        <v>1</v>
      </c>
      <c r="D61" s="2" t="b">
        <f>IF(D58="May 31",2,IF(D58="Jun 15",3,IF(D58="Jun 30",4,IF(D58="July 15",5,IF(D58="July 31",6,IF(D58="Aug 15",7))))))</f>
        <v>0</v>
      </c>
      <c r="L61" s="2" t="s">
        <v>38</v>
      </c>
      <c r="M61" s="26">
        <f>IF(C58="May 16",L58/D62,0)</f>
        <v>0</v>
      </c>
    </row>
    <row r="62" spans="2:15" hidden="1" x14ac:dyDescent="0.25">
      <c r="C62" s="10" t="b">
        <f>(IF($D$7=9,Dropdowns!$F$2,IF($D$7=9.5,Dropdowns!$G$2,IF($D$7=10,Dropdowns!$H$2,IF($D$7=10.5,Dropdowns!$I$2,IF($D$7=11,Dropdowns!$J$2,IF($D$7=11.5,Dropdowns!$K$2)))))))</f>
        <v>0</v>
      </c>
      <c r="D62" s="2">
        <f>D61-C61</f>
        <v>-1</v>
      </c>
      <c r="L62" s="2" t="s">
        <v>39</v>
      </c>
      <c r="M62" s="26">
        <f>IF(OR(D58="May 31",C58="July 1",C58="July 16", C58="Aug 1"),0,IF(D58="Jun 15",L58/D62,IF(C58="Jun 16",L58/D62,IF(AND(C58="Jun 16",D58="Jun 30"),L58/D62,IF(AND(D58&lt;&gt;"Jun 15"),(L58/D62)*2,0)))))</f>
        <v>0</v>
      </c>
    </row>
    <row r="63" spans="2:15" hidden="1" x14ac:dyDescent="0.25">
      <c r="C63" s="10">
        <f>(12-$D$7)*2</f>
        <v>24</v>
      </c>
      <c r="D63" s="2">
        <f>D62*C62</f>
        <v>0</v>
      </c>
      <c r="L63" s="2" t="s">
        <v>40</v>
      </c>
      <c r="M63" s="26">
        <f>IF(OR(D58="June 30",C58="June 1",C58="June 16",C58="Aug 1"),0,IF(D58="July 15",L58/D62,IF(C58="July 16",L58/D62,IF(AND(D58="July 31",C58&lt;&gt;"July 16"),(L58/D62)*2,IF(AND(D58="Aug 15",C58&lt;&gt;"July 16"),(L58/D62)*2,0)))))</f>
        <v>0</v>
      </c>
    </row>
    <row r="64" spans="2:15" ht="14.4" hidden="1" thickBot="1" x14ac:dyDescent="0.3">
      <c r="C64" s="10"/>
      <c r="L64" s="2" t="s">
        <v>41</v>
      </c>
      <c r="M64" s="26">
        <f>IF(D58="Aug 15",L58/D62,0)</f>
        <v>0</v>
      </c>
    </row>
    <row r="65" spans="2:15" x14ac:dyDescent="0.25">
      <c r="B65" s="76">
        <v>6</v>
      </c>
      <c r="C65" s="59" t="s">
        <v>42</v>
      </c>
      <c r="D65" s="41" t="s">
        <v>26</v>
      </c>
      <c r="E65" s="42"/>
      <c r="F65" s="43">
        <v>70550</v>
      </c>
      <c r="G65" s="42"/>
      <c r="H65" s="44"/>
      <c r="I65" s="42"/>
      <c r="J65" s="43"/>
      <c r="K65" s="41" t="s">
        <v>27</v>
      </c>
      <c r="L65" s="7"/>
      <c r="M65" s="8"/>
      <c r="O65" s="2" t="str">
        <f>(VLOOKUP(I65,Dropdowns!$N$2:$P$13,3))</f>
        <v>Non-SPA</v>
      </c>
    </row>
    <row r="66" spans="2:15" x14ac:dyDescent="0.25">
      <c r="B66" s="77"/>
      <c r="C66" s="60"/>
      <c r="D66" s="16" t="s">
        <v>6</v>
      </c>
      <c r="E66" s="16" t="s">
        <v>7</v>
      </c>
      <c r="F66" s="16" t="s">
        <v>8</v>
      </c>
      <c r="G66" s="16" t="s">
        <v>9</v>
      </c>
      <c r="H66" s="16"/>
      <c r="I66" s="16" t="s">
        <v>10</v>
      </c>
      <c r="J66" s="16"/>
      <c r="K66" s="16" t="s">
        <v>11</v>
      </c>
      <c r="M66" s="9"/>
    </row>
    <row r="67" spans="2:15" x14ac:dyDescent="0.25">
      <c r="B67" s="77"/>
      <c r="M67" s="9"/>
    </row>
    <row r="68" spans="2:15" x14ac:dyDescent="0.25">
      <c r="B68" s="77"/>
      <c r="C68" s="48" t="s">
        <v>64</v>
      </c>
      <c r="D68" s="29"/>
      <c r="G68" s="72"/>
      <c r="H68" s="72"/>
      <c r="I68" s="72"/>
      <c r="L68" s="65">
        <f>(($M$3*D73)*G68)</f>
        <v>0</v>
      </c>
      <c r="M68" s="66"/>
    </row>
    <row r="69" spans="2:15" x14ac:dyDescent="0.25">
      <c r="B69" s="77"/>
      <c r="C69" s="16" t="s">
        <v>28</v>
      </c>
      <c r="D69" s="16" t="s">
        <v>29</v>
      </c>
      <c r="G69" s="67" t="s">
        <v>13</v>
      </c>
      <c r="H69" s="67"/>
      <c r="I69" s="67"/>
      <c r="L69" s="62" t="s">
        <v>14</v>
      </c>
      <c r="M69" s="63"/>
    </row>
    <row r="70" spans="2:15" ht="14.4" thickBot="1" x14ac:dyDescent="0.3">
      <c r="B70" s="78"/>
      <c r="C70" s="61" t="str">
        <f>IF(C73&lt;D72,"Exceeds maximum available summer months","")</f>
        <v/>
      </c>
      <c r="D70" s="61"/>
      <c r="E70" s="12" t="s">
        <v>44</v>
      </c>
      <c r="F70" s="64"/>
      <c r="G70" s="64"/>
      <c r="H70" s="64"/>
      <c r="I70" s="64"/>
      <c r="J70" s="64"/>
      <c r="K70" s="64"/>
      <c r="L70" s="12" t="s">
        <v>12</v>
      </c>
      <c r="M70" s="28"/>
    </row>
    <row r="71" spans="2:15" hidden="1" x14ac:dyDescent="0.25">
      <c r="C71" s="2">
        <f>IF(C68="May 16",1,IF(C68="Jun 1",2,IF(C68="Jun 16",3,IF(C68="July 1",4,IF(C68="July 16",5,IF(C68="Aug 1",6))))))</f>
        <v>1</v>
      </c>
      <c r="D71" s="2" t="b">
        <f>IF(D68="May 31",2,IF(D68="Jun 15",3,IF(D68="Jun 30",4,IF(D68="July 15",5,IF(D68="July 31",6,IF(D68="Aug 15",7))))))</f>
        <v>0</v>
      </c>
      <c r="L71" s="2" t="s">
        <v>38</v>
      </c>
      <c r="M71" s="11">
        <f>IF(C68="May 16",L68/D72,0)</f>
        <v>0</v>
      </c>
    </row>
    <row r="72" spans="2:15" hidden="1" x14ac:dyDescent="0.25">
      <c r="C72" s="10" t="b">
        <f>(IF($D$7=9,Dropdowns!$F$2,IF($D$7=9.5,Dropdowns!$G$2,IF($D$7=10,Dropdowns!$H$2,IF($D$7=10.5,Dropdowns!$I$2,IF($D$7=11,Dropdowns!$J$2,IF($D$7=11.5,Dropdowns!$K$2)))))))</f>
        <v>0</v>
      </c>
      <c r="D72" s="2">
        <f>D71-C71</f>
        <v>-1</v>
      </c>
      <c r="L72" s="2" t="s">
        <v>39</v>
      </c>
      <c r="M72" s="11">
        <f>IF(OR(D68="May 31",C68="July 1",C68="July 16", C68="Aug 1"),0,IF(D68="Jun 15",L68/D72,IF(C68="Jun 16",L68/D72,IF(AND(C68="Jun 16",D68="Jun 30"),L68/D72,IF(AND(D68&lt;&gt;"Jun 15"),(L68/D72)*2,0)))))</f>
        <v>0</v>
      </c>
    </row>
    <row r="73" spans="2:15" hidden="1" x14ac:dyDescent="0.25">
      <c r="C73" s="2">
        <f>(12-$D$7)*2</f>
        <v>24</v>
      </c>
      <c r="D73" s="2">
        <f>D72*C72</f>
        <v>0</v>
      </c>
      <c r="L73" s="2" t="s">
        <v>40</v>
      </c>
      <c r="M73" s="11">
        <f>IF(OR(D68="June 30",C68="June 1",C68="June 16",C68="Aug 1"),0,IF(D68="July 15",L68/D72,IF(C68="July 16",L68/D72,IF(AND(D68="July 31",C68&lt;&gt;"July 16"),(L68/D72)*2,IF(AND(D68="Aug 15",C68&lt;&gt;"July 16"),(L68/D72)*2,0)))))</f>
        <v>0</v>
      </c>
    </row>
    <row r="74" spans="2:15" ht="14.4" hidden="1" thickBot="1" x14ac:dyDescent="0.3">
      <c r="C74" s="12"/>
      <c r="D74" s="12"/>
      <c r="E74" s="12"/>
      <c r="F74" s="12"/>
      <c r="G74" s="12"/>
      <c r="H74" s="12"/>
      <c r="I74" s="12"/>
      <c r="J74" s="12"/>
      <c r="L74" s="12" t="s">
        <v>41</v>
      </c>
      <c r="M74" s="13">
        <f>IF(D68="Aug 15",L68/D72,0)</f>
        <v>0</v>
      </c>
    </row>
    <row r="75" spans="2:15" x14ac:dyDescent="0.25">
      <c r="M75" s="11"/>
    </row>
    <row r="76" spans="2:15" x14ac:dyDescent="0.25">
      <c r="K76" s="67" t="s">
        <v>50</v>
      </c>
      <c r="L76" s="67"/>
      <c r="M76" s="11"/>
    </row>
    <row r="77" spans="2:15" x14ac:dyDescent="0.25">
      <c r="K77" s="16" t="s">
        <v>51</v>
      </c>
      <c r="L77" s="16" t="s">
        <v>52</v>
      </c>
      <c r="M77" s="11"/>
    </row>
    <row r="78" spans="2:15" x14ac:dyDescent="0.25">
      <c r="I78" s="2" t="s">
        <v>33</v>
      </c>
      <c r="K78" s="24">
        <f>M21+M31+M41+M51+M61+M71</f>
        <v>0</v>
      </c>
      <c r="L78" s="45" t="str">
        <f>IF($D$7=9, K78/($M$5*Dropdowns!F12),IF($D$7=9.5, EAF!K78/(EAF!$M$5*Dropdowns!G12), IF(EAF!$D$7=10, EAF!K78/(EAF!$M$5*Dropdowns!H12),IF(EAF!$D$7=10.5, EAF!K78/(EAF!$M$5*Dropdowns!I12),IF(EAF!$D$7=11, EAF!K78/(EAF!$M$5*Dropdowns!J12), IF(EAF!$D$7=11.5, EAF!K78/(EAF!$M$5*Dropdowns!K12), ""))))))</f>
        <v/>
      </c>
      <c r="M78" s="32" t="e">
        <f>IF(AND($D$7=9,(K78/$M$5)&gt;Dropdowns!F12),"Exceeds Allowable Amount for May",IF(AND($D$7=9.5,(K78/$M$5)&gt;Dropdowns!G12),"Exceeds Allowable Amount for May",IF(AND($D$7=10,(K78/$M$5)&gt;Dropdowns!H12),"Exceeds Allowable Amount for May",IF(AND($D$7=10.5,(K78/$M$5)&gt;Dropdowns!I12),"Exceeds Allowable Amount for May",IF(AND($D$7=11,(K78/$M$5)&gt;Dropdowns!J12),"Exceeds Allowable Amount for May",IF(AND($D$7=11.5,(K78/$M$5)&gt;Dropdowns!K12),"Exceeds Allowable Amount for May",""))))))</f>
        <v>#DIV/0!</v>
      </c>
    </row>
    <row r="79" spans="2:15" x14ac:dyDescent="0.25">
      <c r="I79" s="2" t="s">
        <v>34</v>
      </c>
      <c r="K79" s="24">
        <f>M22+M32+M42+M52+M62+M72</f>
        <v>0</v>
      </c>
      <c r="L79" s="45" t="str">
        <f>IF($D$7=9, K79/($M$5*Dropdowns!F13),IF($D$7=9.5, EAF!K79/(EAF!$M$5*Dropdowns!G13), IF(EAF!$D$7=10, EAF!K79/(EAF!$M$5*Dropdowns!H13),IF(EAF!$D$7=10.5, EAF!K79/(EAF!$M$5*Dropdowns!I13),IF(EAF!$D$7=11, EAF!K79/(EAF!$M$5*Dropdowns!J13), IF(EAF!$D$7=11.5, EAF!K79/(EAF!$M$5*Dropdowns!K13), ""))))))</f>
        <v/>
      </c>
      <c r="M79" s="32" t="e">
        <f>IF(AND($D$7=9,(K79/$M$5)&gt;Dropdowns!F13),"Exceeds Allowable Amount for June",IF(AND($D$7=9.5,(K79/$M$5)&gt;Dropdowns!G13),"Exceeds Allowable Amount for June",IF(AND($D$7=10,(K79/$M$5)&gt;Dropdowns!H13),"Exceeds Allowable Amount for June",IF(AND($D$7=10.5,(K79/$M$5)&gt;Dropdowns!I13),"Exceeds Allowable Amount for June",IF(AND($D$7=11,(K79/$M$5)&gt;Dropdowns!J13),"Exceeds Allowable Amount for June",IF(AND($D$7=11.5,(K79/$M$5)&gt;Dropdowns!K13),"Exceeds Allowable Amount for June",""))))))</f>
        <v>#DIV/0!</v>
      </c>
    </row>
    <row r="80" spans="2:15" x14ac:dyDescent="0.25">
      <c r="I80" s="2" t="s">
        <v>35</v>
      </c>
      <c r="K80" s="24">
        <f>M23+M33+M43+M53+M63+M73</f>
        <v>0</v>
      </c>
      <c r="L80" s="45" t="str">
        <f>IF($D$7=9, K80/($M$5*Dropdowns!F14),IF($D$7=9.5, EAF!K80/(EAF!$M$5*Dropdowns!G14), IF(EAF!$D$7=10, EAF!K80/(EAF!$M$5*Dropdowns!H14),IF(EAF!$D$7=10.5, EAF!K80/(EAF!$M$5*Dropdowns!I14),IF(EAF!$D$7=11, EAF!K80/(EAF!$M$5*Dropdowns!J14), IF(EAF!$D$7=11.5, EAF!K80/(EAF!$M$5*Dropdowns!K14), ""))))))</f>
        <v/>
      </c>
      <c r="M80" s="33" t="e">
        <f>IF(AND($D$7=9,(K80/$M$5)&gt;Dropdowns!F14),"Exceeds Allowable Amount for July",IF(AND($D$7=9.5,(K80/$M$5)&gt;Dropdowns!G14),"Exceeds Allowable Amount for July",IF(AND($D$7=10,(K80/$M$5)&gt;Dropdowns!H14),"Exceeds Allowable Amount for July",IF(AND($D$7=10.5,(K80/$M$5)&gt;Dropdowns!I14),"Exceeds Allowable Amount for July",IF(AND($D$7=11,(K80/$M$5)&gt;Dropdowns!J14),"Exceeds Allowable Amount for July",IF(AND($D$7=11.5,(K80/$M$5)&gt;Dropdowns!K14),"Exceeds Allowable Amount for July",""))))))</f>
        <v>#DIV/0!</v>
      </c>
    </row>
    <row r="81" spans="3:13" x14ac:dyDescent="0.25">
      <c r="I81" s="39" t="s">
        <v>36</v>
      </c>
      <c r="K81" s="40">
        <f>M24+M34+M44+M54+M64+M74</f>
        <v>0</v>
      </c>
      <c r="L81" s="46" t="str">
        <f>IF($D$7=9, K81/($M$5*Dropdowns!F15),IF($D$7=9.5, EAF!K81/(EAF!$M$5*Dropdowns!G15), IF(EAF!$D$7=10, EAF!K81/(EAF!$M$5*Dropdowns!H15),IF(EAF!$D$7=10.5, EAF!K81/(EAF!$M$5*Dropdowns!I15),IF(EAF!$D$7=11, EAF!K81/(EAF!$M$5*Dropdowns!J15), IF(EAF!$D$7=11.5, EAF!K81/(EAF!$M$5*Dropdowns!K15), ""))))))</f>
        <v/>
      </c>
      <c r="M81" s="32" t="e">
        <f>IF(AND($D$7=9,(K81/$M$5)&gt;Dropdowns!F15),"Exceeds Allowable Amount for August",IF(AND($D$7=9.5,(K81/$M$5)&gt;Dropdowns!G15),"Exceeds Allowable Amount for August",IF(AND($D$7=10,(K81/$M$5)&gt;Dropdowns!H15),"Exceeds Allowable Amount for August",IF(AND($D$7=10.5,(K81/$M$5)&gt;Dropdowns!I15),"Exceeds Allowable Amount for August",IF(AND($D$7=11,(K81/$M$5)&gt;Dropdowns!J15),"Exceeds Allowable Amount for August",IF(AND($D$7=11.5,(K81/$M$5)&gt;Dropdowns!K15),"Exceeds Allowable Amount for August",""))))))</f>
        <v>#DIV/0!</v>
      </c>
    </row>
    <row r="82" spans="3:13" x14ac:dyDescent="0.25">
      <c r="I82" s="18" t="s">
        <v>47</v>
      </c>
      <c r="K82" s="24">
        <f>IF(O15="SPA",L18,0)+IF(O25="SPA",$L$28,0)+IF(O35="SPA",$L$38,0)+IF(O45="SPA",$L$48,0)+IF(O55="SPA",$L$58,0)+IF(O65="SPA",$L$68,0)</f>
        <v>0</v>
      </c>
      <c r="M82" s="34"/>
    </row>
    <row r="83" spans="3:13" x14ac:dyDescent="0.25">
      <c r="I83" s="18" t="s">
        <v>48</v>
      </c>
      <c r="K83" s="24">
        <f>IF(O15="Non-SPA", $L$18,0)+IF(O25="Non-SPA", $L$28,0)+IF(O35="Non-SPA",$L$38,0)+IF(O45="Non-SPA",$L$48,0)+IF(O55="Non-SPA",$L$58,0)+IF(O65="Non-SPA",$L$68,0)</f>
        <v>0</v>
      </c>
      <c r="M83" s="34"/>
    </row>
    <row r="84" spans="3:13" x14ac:dyDescent="0.25">
      <c r="M84" s="75" t="e">
        <f>IF(K82&gt;M7, "Exceeds Max Amount for sponsored projects. Adjust % effort to &lt;90% or fill out POW form.",IF(K85&gt;M5, "Exceeds maximum summer salary amount.",""))</f>
        <v>#DIV/0!</v>
      </c>
    </row>
    <row r="85" spans="3:13" ht="14.4" thickBot="1" x14ac:dyDescent="0.3">
      <c r="G85" s="19"/>
      <c r="H85" s="19"/>
      <c r="I85" s="12" t="s">
        <v>37</v>
      </c>
      <c r="K85" s="23">
        <f>SUM(K78:K81)+M9</f>
        <v>0</v>
      </c>
      <c r="L85" s="47" t="e">
        <f>K85/M5</f>
        <v>#DIV/0!</v>
      </c>
      <c r="M85" s="75"/>
    </row>
    <row r="86" spans="3:13" x14ac:dyDescent="0.25">
      <c r="G86" s="19"/>
      <c r="H86" s="19"/>
      <c r="I86" s="22"/>
      <c r="L86" s="19"/>
      <c r="M86" s="35"/>
    </row>
    <row r="87" spans="3:13" x14ac:dyDescent="0.25">
      <c r="C87" s="67" t="s">
        <v>43</v>
      </c>
      <c r="D87" s="67"/>
      <c r="E87" s="67"/>
      <c r="F87" s="67"/>
      <c r="G87" s="67"/>
      <c r="H87" s="67"/>
      <c r="I87" s="67"/>
      <c r="J87" s="67"/>
      <c r="K87" s="67"/>
      <c r="L87" s="67"/>
      <c r="M87" s="67"/>
    </row>
    <row r="89" spans="3:13" x14ac:dyDescent="0.25">
      <c r="C89" s="2" t="s">
        <v>31</v>
      </c>
      <c r="D89" s="73"/>
      <c r="E89" s="73"/>
      <c r="F89" s="73"/>
      <c r="G89" s="73"/>
      <c r="H89" s="73"/>
      <c r="I89" s="73"/>
      <c r="J89" s="73"/>
      <c r="K89" s="73"/>
      <c r="L89" s="14" t="s">
        <v>12</v>
      </c>
      <c r="M89" s="31"/>
    </row>
    <row r="91" spans="3:13" x14ac:dyDescent="0.25">
      <c r="C91" s="2" t="s">
        <v>45</v>
      </c>
      <c r="D91" s="74"/>
      <c r="E91" s="74"/>
      <c r="F91" s="74"/>
      <c r="G91" s="74"/>
      <c r="H91" s="74"/>
      <c r="I91" s="74"/>
      <c r="J91" s="74"/>
      <c r="K91" s="74"/>
      <c r="L91" s="2" t="s">
        <v>12</v>
      </c>
      <c r="M91" s="31"/>
    </row>
    <row r="92" spans="3:13" ht="14.4" x14ac:dyDescent="0.3">
      <c r="C92" s="17" t="s">
        <v>46</v>
      </c>
    </row>
    <row r="93" spans="3:13" ht="14.4" x14ac:dyDescent="0.3">
      <c r="C93" s="17"/>
    </row>
    <row r="94" spans="3:13" x14ac:dyDescent="0.25">
      <c r="C94" s="2" t="s">
        <v>32</v>
      </c>
      <c r="D94" s="74"/>
      <c r="E94" s="74"/>
      <c r="F94" s="74"/>
      <c r="G94" s="74"/>
      <c r="H94" s="74"/>
      <c r="I94" s="74"/>
      <c r="J94" s="74"/>
      <c r="K94" s="74"/>
      <c r="L94" s="2" t="s">
        <v>12</v>
      </c>
      <c r="M94" s="31"/>
    </row>
  </sheetData>
  <sheetProtection sheet="1" selectLockedCells="1"/>
  <mergeCells count="64">
    <mergeCell ref="B45:B50"/>
    <mergeCell ref="B55:B60"/>
    <mergeCell ref="L68:M68"/>
    <mergeCell ref="L59:M59"/>
    <mergeCell ref="C1:L1"/>
    <mergeCell ref="B65:B70"/>
    <mergeCell ref="C9:E9"/>
    <mergeCell ref="K9:L9"/>
    <mergeCell ref="B11:M13"/>
    <mergeCell ref="B15:B20"/>
    <mergeCell ref="B25:B30"/>
    <mergeCell ref="B35:B40"/>
    <mergeCell ref="G18:I18"/>
    <mergeCell ref="G19:I19"/>
    <mergeCell ref="G28:I28"/>
    <mergeCell ref="G29:I29"/>
    <mergeCell ref="M84:M85"/>
    <mergeCell ref="L69:M69"/>
    <mergeCell ref="C87:M87"/>
    <mergeCell ref="C70:D70"/>
    <mergeCell ref="K76:L76"/>
    <mergeCell ref="G69:I69"/>
    <mergeCell ref="F70:K70"/>
    <mergeCell ref="G68:I68"/>
    <mergeCell ref="G48:I48"/>
    <mergeCell ref="D89:K89"/>
    <mergeCell ref="D94:K94"/>
    <mergeCell ref="D91:K91"/>
    <mergeCell ref="D5:F5"/>
    <mergeCell ref="G39:I39"/>
    <mergeCell ref="G38:I38"/>
    <mergeCell ref="G49:I49"/>
    <mergeCell ref="G58:I58"/>
    <mergeCell ref="D3:F3"/>
    <mergeCell ref="C40:D40"/>
    <mergeCell ref="C15:C16"/>
    <mergeCell ref="C25:C26"/>
    <mergeCell ref="C35:C36"/>
    <mergeCell ref="F20:K20"/>
    <mergeCell ref="F30:K30"/>
    <mergeCell ref="F40:K40"/>
    <mergeCell ref="I3:L3"/>
    <mergeCell ref="I5:L5"/>
    <mergeCell ref="I7:L8"/>
    <mergeCell ref="E7:G8"/>
    <mergeCell ref="L18:M18"/>
    <mergeCell ref="L28:M28"/>
    <mergeCell ref="L29:M29"/>
    <mergeCell ref="L38:M38"/>
    <mergeCell ref="C65:C66"/>
    <mergeCell ref="C30:D30"/>
    <mergeCell ref="C20:D20"/>
    <mergeCell ref="L19:M19"/>
    <mergeCell ref="C60:D60"/>
    <mergeCell ref="C50:D50"/>
    <mergeCell ref="F60:K60"/>
    <mergeCell ref="L48:M48"/>
    <mergeCell ref="L49:M49"/>
    <mergeCell ref="L58:M58"/>
    <mergeCell ref="C45:C46"/>
    <mergeCell ref="C55:C56"/>
    <mergeCell ref="F50:K50"/>
    <mergeCell ref="L39:M39"/>
    <mergeCell ref="G59:I59"/>
  </mergeCells>
  <conditionalFormatting sqref="L78">
    <cfRule type="expression" dxfId="6" priority="8">
      <formula>$L$78&gt;100%</formula>
    </cfRule>
  </conditionalFormatting>
  <conditionalFormatting sqref="L79">
    <cfRule type="expression" dxfId="5" priority="7">
      <formula>$L$79&gt;100%</formula>
    </cfRule>
  </conditionalFormatting>
  <conditionalFormatting sqref="L80">
    <cfRule type="expression" dxfId="4" priority="6">
      <formula>$L$80&gt;100%</formula>
    </cfRule>
  </conditionalFormatting>
  <conditionalFormatting sqref="L81">
    <cfRule type="expression" dxfId="3" priority="5">
      <formula>$L$81&gt;100%</formula>
    </cfRule>
  </conditionalFormatting>
  <conditionalFormatting sqref="M9">
    <cfRule type="expression" dxfId="2" priority="3">
      <formula>$F$9="Yes"</formula>
    </cfRule>
  </conditionalFormatting>
  <conditionalFormatting sqref="M3">
    <cfRule type="cellIs" dxfId="1" priority="2" operator="greaterThan">
      <formula>221900</formula>
    </cfRule>
  </conditionalFormatting>
  <conditionalFormatting sqref="P3">
    <cfRule type="containsText" dxfId="0" priority="1" operator="containsText" text="NIH">
      <formula>NOT(ISERROR(SEARCH("NIH",P3)))</formula>
    </cfRule>
  </conditionalFormatting>
  <pageMargins left="0.25" right="0.14874999999999999" top="0.25" bottom="0.25" header="0.3" footer="0.3"/>
  <pageSetup scale="64" orientation="portrait" r:id="rId1"/>
  <ignoredErrors>
    <ignoredError sqref="D65 K65 D55 K55 D45 K45 K35 D35 K25 D25 K15 D15" numberStoredAsText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Dropdowns!$E$2:$E$7</xm:f>
          </x14:formula1>
          <xm:sqref>C18 C38 C48 C58 C28 C68</xm:sqref>
        </x14:dataValidation>
        <x14:dataValidation type="list" allowBlank="1" showInputMessage="1" showErrorMessage="1" xr:uid="{00000000-0002-0000-0000-000001000000}">
          <x14:formula1>
            <xm:f>Dropdowns!$L$2:$L$7</xm:f>
          </x14:formula1>
          <xm:sqref>D68 D58 D28 D38 D48 D18</xm:sqref>
        </x14:dataValidation>
        <x14:dataValidation type="list" allowBlank="1" showInputMessage="1" showErrorMessage="1" xr:uid="{00000000-0002-0000-0000-000002000000}">
          <x14:formula1>
            <xm:f>Dropdowns!$C$2:$C$4</xm:f>
          </x14:formula1>
          <xm:sqref>F9</xm:sqref>
        </x14:dataValidation>
        <x14:dataValidation type="list" allowBlank="1" showInputMessage="1" showErrorMessage="1" xr:uid="{00000000-0002-0000-0000-000003000000}">
          <x14:formula1>
            <xm:f>Dropdowns!$A$2:$A$9</xm:f>
          </x14:formula1>
          <xm:sqref>D7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C1"/>
  <sheetViews>
    <sheetView workbookViewId="0"/>
  </sheetViews>
  <sheetFormatPr defaultRowHeight="14.4" x14ac:dyDescent="0.3"/>
  <sheetData>
    <row r="1" spans="1:3" x14ac:dyDescent="0.3">
      <c r="A1" t="s">
        <v>55</v>
      </c>
      <c r="B1" t="s">
        <v>56</v>
      </c>
      <c r="C1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P16"/>
  <sheetViews>
    <sheetView workbookViewId="0">
      <selection activeCell="Q20" sqref="Q20"/>
    </sheetView>
  </sheetViews>
  <sheetFormatPr defaultRowHeight="14.4" x14ac:dyDescent="0.3"/>
  <cols>
    <col min="5" max="5" width="13.77734375" bestFit="1" customWidth="1"/>
    <col min="6" max="6" width="14.77734375" style="49" bestFit="1" customWidth="1"/>
    <col min="7" max="7" width="12" style="49" bestFit="1" customWidth="1"/>
    <col min="8" max="8" width="11.5546875" bestFit="1" customWidth="1"/>
    <col min="12" max="12" width="14.77734375" bestFit="1" customWidth="1"/>
  </cols>
  <sheetData>
    <row r="1" spans="1:16" x14ac:dyDescent="0.3">
      <c r="F1">
        <v>9</v>
      </c>
      <c r="G1">
        <v>9.5</v>
      </c>
      <c r="H1">
        <v>10</v>
      </c>
      <c r="I1">
        <v>10.5</v>
      </c>
      <c r="J1">
        <v>11</v>
      </c>
      <c r="K1">
        <v>11.5</v>
      </c>
      <c r="N1" s="50" t="s">
        <v>58</v>
      </c>
    </row>
    <row r="2" spans="1:16" x14ac:dyDescent="0.3">
      <c r="C2" t="s">
        <v>5</v>
      </c>
      <c r="E2" s="1" t="s">
        <v>64</v>
      </c>
      <c r="F2" s="49">
        <f t="shared" ref="F2:F7" si="0">$F$10/6</f>
        <v>5.5555555555555552E-2</v>
      </c>
      <c r="G2" s="49">
        <f t="shared" ref="G2:G7" si="1">$G$10/5</f>
        <v>5.2631578947368418E-2</v>
      </c>
      <c r="H2">
        <f t="shared" ref="H2:H7" si="2">$H$10/4</f>
        <v>0.05</v>
      </c>
      <c r="I2">
        <f t="shared" ref="I2:I7" si="3">$I$10/3</f>
        <v>4.7619047619047616E-2</v>
      </c>
      <c r="J2">
        <f t="shared" ref="J2:J7" si="4">$J$10/2</f>
        <v>4.5454545454545456E-2</v>
      </c>
      <c r="K2">
        <f t="shared" ref="K2:K7" si="5">$K$10/1</f>
        <v>4.3478260869565216E-2</v>
      </c>
      <c r="L2" s="1" t="s">
        <v>21</v>
      </c>
      <c r="N2">
        <v>0</v>
      </c>
      <c r="O2">
        <v>9999</v>
      </c>
      <c r="P2" t="s">
        <v>59</v>
      </c>
    </row>
    <row r="3" spans="1:16" x14ac:dyDescent="0.3">
      <c r="A3">
        <v>9</v>
      </c>
      <c r="C3" t="s">
        <v>3</v>
      </c>
      <c r="E3" s="1" t="s">
        <v>16</v>
      </c>
      <c r="F3" s="49">
        <f t="shared" si="0"/>
        <v>5.5555555555555552E-2</v>
      </c>
      <c r="G3" s="49">
        <f t="shared" si="1"/>
        <v>5.2631578947368418E-2</v>
      </c>
      <c r="H3">
        <f t="shared" si="2"/>
        <v>0.05</v>
      </c>
      <c r="I3">
        <f t="shared" si="3"/>
        <v>4.7619047619047616E-2</v>
      </c>
      <c r="J3">
        <f t="shared" si="4"/>
        <v>4.5454545454545456E-2</v>
      </c>
      <c r="K3">
        <f t="shared" si="5"/>
        <v>4.3478260869565216E-2</v>
      </c>
      <c r="L3" s="1" t="s">
        <v>22</v>
      </c>
      <c r="N3">
        <v>10000</v>
      </c>
      <c r="O3">
        <v>19999</v>
      </c>
      <c r="P3" t="s">
        <v>59</v>
      </c>
    </row>
    <row r="4" spans="1:16" x14ac:dyDescent="0.3">
      <c r="A4">
        <v>9.5</v>
      </c>
      <c r="C4" t="s">
        <v>4</v>
      </c>
      <c r="E4" s="1" t="s">
        <v>17</v>
      </c>
      <c r="F4" s="49">
        <f t="shared" si="0"/>
        <v>5.5555555555555552E-2</v>
      </c>
      <c r="G4" s="49">
        <f t="shared" si="1"/>
        <v>5.2631578947368418E-2</v>
      </c>
      <c r="H4">
        <f t="shared" si="2"/>
        <v>0.05</v>
      </c>
      <c r="I4">
        <f t="shared" si="3"/>
        <v>4.7619047619047616E-2</v>
      </c>
      <c r="J4">
        <f t="shared" si="4"/>
        <v>4.5454545454545456E-2</v>
      </c>
      <c r="K4">
        <f t="shared" si="5"/>
        <v>4.3478260869565216E-2</v>
      </c>
      <c r="L4" s="1" t="s">
        <v>23</v>
      </c>
      <c r="N4">
        <v>20000</v>
      </c>
      <c r="O4">
        <v>29999</v>
      </c>
      <c r="P4" t="s">
        <v>59</v>
      </c>
    </row>
    <row r="5" spans="1:16" x14ac:dyDescent="0.3">
      <c r="A5">
        <v>10</v>
      </c>
      <c r="E5" s="1" t="s">
        <v>18</v>
      </c>
      <c r="F5" s="49">
        <f t="shared" si="0"/>
        <v>5.5555555555555552E-2</v>
      </c>
      <c r="G5" s="49">
        <f t="shared" si="1"/>
        <v>5.2631578947368418E-2</v>
      </c>
      <c r="H5">
        <f t="shared" si="2"/>
        <v>0.05</v>
      </c>
      <c r="I5">
        <f t="shared" si="3"/>
        <v>4.7619047619047616E-2</v>
      </c>
      <c r="J5">
        <f t="shared" si="4"/>
        <v>4.5454545454545456E-2</v>
      </c>
      <c r="K5">
        <f t="shared" si="5"/>
        <v>4.3478260869565216E-2</v>
      </c>
      <c r="L5" s="1" t="s">
        <v>24</v>
      </c>
      <c r="N5">
        <v>30000</v>
      </c>
      <c r="O5">
        <v>39999</v>
      </c>
      <c r="P5" t="s">
        <v>60</v>
      </c>
    </row>
    <row r="6" spans="1:16" x14ac:dyDescent="0.3">
      <c r="A6">
        <v>10.5</v>
      </c>
      <c r="E6" s="1" t="s">
        <v>19</v>
      </c>
      <c r="F6" s="49">
        <f t="shared" si="0"/>
        <v>5.5555555555555552E-2</v>
      </c>
      <c r="G6" s="49">
        <f t="shared" si="1"/>
        <v>5.2631578947368418E-2</v>
      </c>
      <c r="H6">
        <f t="shared" si="2"/>
        <v>0.05</v>
      </c>
      <c r="I6">
        <f t="shared" si="3"/>
        <v>4.7619047619047616E-2</v>
      </c>
      <c r="J6">
        <f t="shared" si="4"/>
        <v>4.5454545454545456E-2</v>
      </c>
      <c r="K6">
        <f t="shared" si="5"/>
        <v>4.3478260869565216E-2</v>
      </c>
      <c r="L6" s="1" t="s">
        <v>25</v>
      </c>
      <c r="N6" s="56" t="s">
        <v>68</v>
      </c>
      <c r="O6" s="56" t="s">
        <v>69</v>
      </c>
      <c r="P6" s="57" t="s">
        <v>60</v>
      </c>
    </row>
    <row r="7" spans="1:16" x14ac:dyDescent="0.3">
      <c r="A7">
        <v>11</v>
      </c>
      <c r="E7" s="1" t="s">
        <v>20</v>
      </c>
      <c r="F7" s="49">
        <f t="shared" si="0"/>
        <v>5.5555555555555552E-2</v>
      </c>
      <c r="G7" s="49">
        <f t="shared" si="1"/>
        <v>5.2631578947368418E-2</v>
      </c>
      <c r="H7">
        <f t="shared" si="2"/>
        <v>0.05</v>
      </c>
      <c r="I7">
        <f t="shared" si="3"/>
        <v>4.7619047619047616E-2</v>
      </c>
      <c r="J7">
        <f t="shared" si="4"/>
        <v>4.5454545454545456E-2</v>
      </c>
      <c r="K7">
        <f t="shared" si="5"/>
        <v>4.3478260869565216E-2</v>
      </c>
      <c r="L7" s="1" t="s">
        <v>53</v>
      </c>
      <c r="N7">
        <v>40000</v>
      </c>
      <c r="O7">
        <v>49999</v>
      </c>
      <c r="P7" t="s">
        <v>59</v>
      </c>
    </row>
    <row r="8" spans="1:16" x14ac:dyDescent="0.3">
      <c r="A8">
        <v>11.5</v>
      </c>
      <c r="N8">
        <v>50000</v>
      </c>
      <c r="O8">
        <v>59999</v>
      </c>
      <c r="P8" t="s">
        <v>59</v>
      </c>
    </row>
    <row r="9" spans="1:16" x14ac:dyDescent="0.3">
      <c r="A9">
        <v>12</v>
      </c>
      <c r="N9">
        <v>60000</v>
      </c>
      <c r="O9">
        <v>69999</v>
      </c>
      <c r="P9" t="s">
        <v>59</v>
      </c>
    </row>
    <row r="10" spans="1:16" x14ac:dyDescent="0.3">
      <c r="F10" s="49">
        <f>3/9</f>
        <v>0.33333333333333331</v>
      </c>
      <c r="G10" s="49">
        <f>2.5/9.5</f>
        <v>0.26315789473684209</v>
      </c>
      <c r="H10">
        <f>2/10</f>
        <v>0.2</v>
      </c>
      <c r="I10">
        <f>1.5/10.5</f>
        <v>0.14285714285714285</v>
      </c>
      <c r="J10">
        <f>1/11</f>
        <v>9.0909090909090912E-2</v>
      </c>
      <c r="K10">
        <f>0.5/11.5</f>
        <v>4.3478260869565216E-2</v>
      </c>
      <c r="N10">
        <v>70000</v>
      </c>
      <c r="O10">
        <v>79999</v>
      </c>
      <c r="P10" t="s">
        <v>59</v>
      </c>
    </row>
    <row r="11" spans="1:16" x14ac:dyDescent="0.3">
      <c r="F11" s="49" t="s">
        <v>15</v>
      </c>
      <c r="N11">
        <v>80000</v>
      </c>
      <c r="O11">
        <v>89999</v>
      </c>
      <c r="P11" t="s">
        <v>59</v>
      </c>
    </row>
    <row r="12" spans="1:16" x14ac:dyDescent="0.3">
      <c r="E12" t="s">
        <v>38</v>
      </c>
      <c r="F12" s="49">
        <f>0.5/3</f>
        <v>0.16666666666666666</v>
      </c>
      <c r="G12" s="49">
        <f>0.5/2.5</f>
        <v>0.2</v>
      </c>
      <c r="H12">
        <f>0.5/2</f>
        <v>0.25</v>
      </c>
      <c r="I12">
        <f>0.5/1.5</f>
        <v>0.33333333333333331</v>
      </c>
      <c r="J12">
        <f>0.5/1</f>
        <v>0.5</v>
      </c>
      <c r="K12">
        <f>0.5/0.5</f>
        <v>1</v>
      </c>
      <c r="N12">
        <v>90000</v>
      </c>
      <c r="O12">
        <v>99999</v>
      </c>
      <c r="P12" t="s">
        <v>59</v>
      </c>
    </row>
    <row r="13" spans="1:16" x14ac:dyDescent="0.3">
      <c r="E13" t="s">
        <v>39</v>
      </c>
      <c r="F13" s="49">
        <f>1/3</f>
        <v>0.33333333333333331</v>
      </c>
      <c r="G13" s="49">
        <f>1/2.5</f>
        <v>0.4</v>
      </c>
      <c r="H13">
        <f>1/2</f>
        <v>0.5</v>
      </c>
      <c r="I13">
        <f>1/1.5</f>
        <v>0.66666666666666663</v>
      </c>
      <c r="J13">
        <f>1/1</f>
        <v>1</v>
      </c>
      <c r="K13">
        <f>0.5/1</f>
        <v>0.5</v>
      </c>
      <c r="N13" t="s">
        <v>61</v>
      </c>
      <c r="O13" t="s">
        <v>62</v>
      </c>
      <c r="P13" t="s">
        <v>60</v>
      </c>
    </row>
    <row r="14" spans="1:16" x14ac:dyDescent="0.3">
      <c r="E14" t="s">
        <v>40</v>
      </c>
      <c r="F14" s="49">
        <f>1/3</f>
        <v>0.33333333333333331</v>
      </c>
      <c r="G14" s="49">
        <f>1/2.5</f>
        <v>0.4</v>
      </c>
      <c r="H14">
        <f>1/2</f>
        <v>0.5</v>
      </c>
      <c r="I14">
        <f>1/1.5</f>
        <v>0.66666666666666663</v>
      </c>
      <c r="J14">
        <f>1/1</f>
        <v>1</v>
      </c>
      <c r="K14">
        <f>0.5/1</f>
        <v>0.5</v>
      </c>
    </row>
    <row r="15" spans="1:16" x14ac:dyDescent="0.3">
      <c r="E15" t="s">
        <v>41</v>
      </c>
      <c r="F15" s="49">
        <f>0.5/3</f>
        <v>0.16666666666666666</v>
      </c>
      <c r="G15" s="49">
        <f>0.5/2.5</f>
        <v>0.2</v>
      </c>
      <c r="H15">
        <f>0.5/2</f>
        <v>0.25</v>
      </c>
      <c r="I15">
        <f>0.5/1.5</f>
        <v>0.33333333333333331</v>
      </c>
      <c r="J15">
        <f>0.5/1</f>
        <v>0.5</v>
      </c>
      <c r="K15">
        <f>0.5/0.5</f>
        <v>1</v>
      </c>
    </row>
    <row r="16" spans="1:16" x14ac:dyDescent="0.3">
      <c r="F16" s="49">
        <f>SUM(F12:F15)</f>
        <v>0.99999999999999989</v>
      </c>
      <c r="G16" s="49">
        <f t="shared" ref="G16:K16" si="6">SUM(G12:G15)</f>
        <v>1.2</v>
      </c>
      <c r="H16" s="49">
        <f t="shared" si="6"/>
        <v>1.5</v>
      </c>
      <c r="I16" s="49">
        <f t="shared" si="6"/>
        <v>1.9999999999999998</v>
      </c>
      <c r="J16" s="49">
        <f t="shared" si="6"/>
        <v>3</v>
      </c>
      <c r="K16" s="49">
        <f t="shared" si="6"/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EAF</vt:lpstr>
      <vt:lpstr>Dropdowns</vt:lpstr>
      <vt:lpstr>EAF!Print_Area</vt:lpstr>
    </vt:vector>
  </TitlesOfParts>
  <Company>Rochester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E. Beiter</dc:creator>
  <cp:lastModifiedBy>Robin Amico</cp:lastModifiedBy>
  <cp:lastPrinted>2019-03-19T17:03:04Z</cp:lastPrinted>
  <dcterms:created xsi:type="dcterms:W3CDTF">2018-02-19T14:34:01Z</dcterms:created>
  <dcterms:modified xsi:type="dcterms:W3CDTF">2025-03-14T16:20:43Z</dcterms:modified>
</cp:coreProperties>
</file>