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updateLinks="never" codeName="ThisWorkbook"/>
  <mc:AlternateContent xmlns:mc="http://schemas.openxmlformats.org/markup-compatibility/2006">
    <mc:Choice Requires="x15">
      <x15ac:absPath xmlns:x15ac="http://schemas.microsoft.com/office/spreadsheetml/2010/11/ac" url="Z:\Staff Work Files\Terry Koo Files\Latest Budget templates\"/>
    </mc:Choice>
  </mc:AlternateContent>
  <xr:revisionPtr revIDLastSave="0" documentId="13_ncr:1_{22B35A4E-C866-4B78-A5E9-667247F095EE}" xr6:coauthVersionLast="47" xr6:coauthVersionMax="47" xr10:uidLastSave="{00000000-0000-0000-0000-000000000000}"/>
  <bookViews>
    <workbookView xWindow="-110" yWindow="-110" windowWidth="19420" windowHeight="10420" tabRatio="714" activeTab="1"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r:id="rId6"/>
    <sheet name="Main Budget" sheetId="2" r:id="rId7"/>
    <sheet name="For SRS Use Only" sheetId="24" state="hidden" r:id="rId8"/>
    <sheet name="For Collaborative Proposals" sheetId="25" state="hidden" r:id="rId9"/>
    <sheet name="Updates" sheetId="26" r:id="rId10"/>
    <sheet name="Rate" sheetId="23" state="hidden" r:id="rId11"/>
  </sheets>
  <externalReferences>
    <externalReference r:id="rId12"/>
  </externalReferences>
  <definedNames>
    <definedName name="_xlnm.Print_Area" localSheetId="6">'Main Budget'!$A$1:$G$101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M12" i="22" l="1"/>
  <c r="B5" i="27"/>
  <c r="B4" i="27"/>
  <c r="B3" i="27"/>
  <c r="B2" i="27"/>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B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9" i="2"/>
  <c r="C163" i="3" s="1"/>
  <c r="E39" i="2"/>
  <c r="C162" i="3" s="1"/>
  <c r="D39" i="2"/>
  <c r="C161" i="3" s="1"/>
  <c r="C39" i="2"/>
  <c r="C160" i="3" s="1"/>
  <c r="F38" i="2"/>
  <c r="C156" i="3" s="1"/>
  <c r="E38" i="2"/>
  <c r="C155" i="3" s="1"/>
  <c r="D38" i="2"/>
  <c r="C154" i="3" s="1"/>
  <c r="C38" i="2"/>
  <c r="C153" i="3" s="1"/>
  <c r="F37" i="2"/>
  <c r="C149" i="3" s="1"/>
  <c r="E37" i="2"/>
  <c r="C148" i="3" s="1"/>
  <c r="D37" i="2"/>
  <c r="C147" i="3" s="1"/>
  <c r="C37" i="2"/>
  <c r="C146" i="3" s="1"/>
  <c r="F36" i="2"/>
  <c r="C142" i="3" s="1"/>
  <c r="E36" i="2"/>
  <c r="C141" i="3" s="1"/>
  <c r="C109" i="24" s="1"/>
  <c r="D36" i="2"/>
  <c r="C140" i="3" s="1"/>
  <c r="C81" i="24" s="1"/>
  <c r="C36" i="2"/>
  <c r="C139" i="3" s="1"/>
  <c r="B39" i="2"/>
  <c r="B38" i="2"/>
  <c r="C152" i="3" s="1"/>
  <c r="B37" i="2"/>
  <c r="C145" i="3" s="1"/>
  <c r="B36" i="2"/>
  <c r="C138" i="3" s="1"/>
  <c r="F35" i="2"/>
  <c r="C135" i="3" s="1"/>
  <c r="E35" i="2"/>
  <c r="C134" i="3" s="1"/>
  <c r="D35" i="2"/>
  <c r="C133" i="3" s="1"/>
  <c r="C35" i="2"/>
  <c r="C132" i="3" s="1"/>
  <c r="B35" i="2"/>
  <c r="A39" i="2"/>
  <c r="A38" i="2"/>
  <c r="A37" i="2"/>
  <c r="A36" i="2"/>
  <c r="A35" i="2"/>
  <c r="A3" i="2"/>
  <c r="A5" i="2"/>
  <c r="A4" i="2"/>
  <c r="C5" i="2"/>
  <c r="C4" i="2"/>
  <c r="C6" i="2"/>
  <c r="A6" i="2"/>
  <c r="C3" i="2"/>
  <c r="B26" i="27" l="1"/>
  <c r="B27" i="27"/>
  <c r="D28" i="27"/>
  <c r="B28" i="27"/>
  <c r="C28" i="27"/>
  <c r="E28" i="27"/>
  <c r="D3" i="27"/>
  <c r="D27" i="27" s="1"/>
  <c r="C5" i="27"/>
  <c r="C29" i="27" s="1"/>
  <c r="D2" i="27"/>
  <c r="D26" i="27" s="1"/>
  <c r="B168" i="24"/>
  <c r="B166" i="24"/>
  <c r="G35"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9" i="2"/>
  <c r="G38" i="2"/>
  <c r="G37" i="2"/>
  <c r="G36" i="2"/>
  <c r="D5" i="27" l="1"/>
  <c r="D29" i="27" s="1"/>
  <c r="C30" i="27"/>
  <c r="C91" i="2" s="1"/>
  <c r="B30" i="27"/>
  <c r="B91" i="2" s="1"/>
  <c r="E3" i="27"/>
  <c r="E27" i="27" s="1"/>
  <c r="E2" i="27"/>
  <c r="E26" i="27" s="1"/>
  <c r="C169" i="24"/>
  <c r="C167" i="24"/>
  <c r="C168" i="24"/>
  <c r="C24" i="24"/>
  <c r="C166" i="24"/>
  <c r="E5" i="27" l="1"/>
  <c r="E29" i="27" s="1"/>
  <c r="D30" i="27"/>
  <c r="D91" i="2" s="1"/>
  <c r="F3" i="27"/>
  <c r="F27" i="27" s="1"/>
  <c r="F2" i="27"/>
  <c r="F26" i="27" s="1"/>
  <c r="C165" i="24"/>
  <c r="F5" i="27" l="1"/>
  <c r="E30" i="27"/>
  <c r="E91"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1" i="2" s="1"/>
  <c r="E22" i="23"/>
  <c r="D22" i="23"/>
  <c r="C22" i="23"/>
  <c r="L12" i="22" s="1"/>
  <c r="E12"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9" i="2"/>
  <c r="F71" i="2" l="1"/>
  <c r="E71" i="2"/>
  <c r="D71" i="2"/>
  <c r="C71" i="2"/>
  <c r="F70" i="2"/>
  <c r="E70" i="2"/>
  <c r="D70" i="2"/>
  <c r="C70" i="2"/>
  <c r="F69" i="2"/>
  <c r="E69" i="2"/>
  <c r="D69" i="2"/>
  <c r="C69" i="2"/>
  <c r="F68" i="2"/>
  <c r="E68" i="2"/>
  <c r="D68" i="2"/>
  <c r="C68" i="2"/>
  <c r="F67" i="2"/>
  <c r="E67" i="2"/>
  <c r="D67" i="2"/>
  <c r="C67" i="2"/>
  <c r="B71" i="2"/>
  <c r="B70" i="2"/>
  <c r="B69" i="2"/>
  <c r="B68" i="2"/>
  <c r="B67" i="2"/>
  <c r="F36" i="5"/>
  <c r="E36" i="5"/>
  <c r="D36" i="5"/>
  <c r="C36" i="5"/>
  <c r="B36" i="5"/>
  <c r="F27" i="5" l="1"/>
  <c r="E27" i="5"/>
  <c r="D27" i="5"/>
  <c r="C27" i="5"/>
  <c r="B27" i="5"/>
  <c r="F43" i="2" l="1"/>
  <c r="E43" i="2"/>
  <c r="D43" i="2"/>
  <c r="C43" i="2"/>
  <c r="B43" i="2"/>
  <c r="F42" i="2"/>
  <c r="E42" i="2"/>
  <c r="D42" i="2"/>
  <c r="C42" i="2"/>
  <c r="B42" i="2"/>
  <c r="F41" i="2"/>
  <c r="E41" i="2"/>
  <c r="D41" i="2"/>
  <c r="C41" i="2"/>
  <c r="B41" i="2"/>
  <c r="F40" i="2"/>
  <c r="E40" i="2"/>
  <c r="D40" i="2"/>
  <c r="C40" i="2"/>
  <c r="B40" i="2"/>
  <c r="E126" i="24"/>
  <c r="E125" i="24"/>
  <c r="E98" i="24"/>
  <c r="E97" i="24"/>
  <c r="E70" i="24"/>
  <c r="E69" i="24"/>
  <c r="E42" i="24"/>
  <c r="E41" i="24"/>
  <c r="E14" i="24"/>
  <c r="E13" i="24"/>
  <c r="A162" i="24"/>
  <c r="A161" i="24"/>
  <c r="A160" i="24"/>
  <c r="A159" i="24"/>
  <c r="A158" i="24"/>
  <c r="F10" i="5"/>
  <c r="E10" i="5"/>
  <c r="D10" i="5"/>
  <c r="C10" i="5"/>
  <c r="B10" i="5"/>
  <c r="B18" i="5"/>
  <c r="A17" i="2"/>
  <c r="A16" i="2"/>
  <c r="A15" i="2"/>
  <c r="A14" i="2"/>
  <c r="A13" i="2"/>
  <c r="A63" i="3"/>
  <c r="A62" i="3"/>
  <c r="A61" i="3"/>
  <c r="A60" i="3"/>
  <c r="A59" i="3"/>
  <c r="F87" i="2"/>
  <c r="E87" i="2"/>
  <c r="D87" i="2"/>
  <c r="C87" i="2"/>
  <c r="B87" i="2"/>
  <c r="G172" i="24"/>
  <c r="F95" i="2"/>
  <c r="E95" i="2"/>
  <c r="D95" i="2"/>
  <c r="C95" i="2"/>
  <c r="B95" i="2"/>
  <c r="F94" i="2"/>
  <c r="E94" i="2"/>
  <c r="D94" i="2"/>
  <c r="C94" i="2"/>
  <c r="B94" i="2"/>
  <c r="F93" i="2"/>
  <c r="E93" i="2"/>
  <c r="D93" i="2"/>
  <c r="C93" i="2"/>
  <c r="B93" i="2"/>
  <c r="F92" i="2"/>
  <c r="E92" i="2"/>
  <c r="D92" i="2"/>
  <c r="C92" i="2"/>
  <c r="B92" i="2"/>
  <c r="A95" i="2"/>
  <c r="A94" i="2"/>
  <c r="A93" i="2"/>
  <c r="A92" i="2"/>
  <c r="B93" i="3"/>
  <c r="B126" i="24" s="1"/>
  <c r="B92" i="3"/>
  <c r="B98" i="24" s="1"/>
  <c r="B91" i="3"/>
  <c r="B70" i="24" s="1"/>
  <c r="B90" i="3"/>
  <c r="B42" i="24" s="1"/>
  <c r="B89" i="3"/>
  <c r="C93" i="3"/>
  <c r="C126" i="24" s="1"/>
  <c r="C92" i="3"/>
  <c r="C98" i="24" s="1"/>
  <c r="C91" i="3"/>
  <c r="C70" i="24" s="1"/>
  <c r="C90" i="3"/>
  <c r="C42" i="24" s="1"/>
  <c r="C89" i="3"/>
  <c r="C14" i="24" s="1"/>
  <c r="F45" i="2"/>
  <c r="D93" i="3" s="1"/>
  <c r="D126" i="24" s="1"/>
  <c r="E45" i="2"/>
  <c r="D92" i="3" s="1"/>
  <c r="D98" i="24" s="1"/>
  <c r="D45" i="2"/>
  <c r="D91" i="3" s="1"/>
  <c r="D70" i="24" s="1"/>
  <c r="C45" i="2"/>
  <c r="D90" i="3" s="1"/>
  <c r="D42" i="24" s="1"/>
  <c r="B45"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1" i="2"/>
  <c r="C128" i="3" s="1"/>
  <c r="C133" i="24" s="1"/>
  <c r="F30" i="2"/>
  <c r="C121" i="3" s="1"/>
  <c r="C132" i="24" s="1"/>
  <c r="E31" i="2"/>
  <c r="C127" i="3" s="1"/>
  <c r="C105" i="24" s="1"/>
  <c r="E30" i="2"/>
  <c r="C120" i="3" s="1"/>
  <c r="C104" i="24" s="1"/>
  <c r="D31" i="2"/>
  <c r="C126" i="3" s="1"/>
  <c r="C77" i="24" s="1"/>
  <c r="D30" i="2"/>
  <c r="C119" i="3" s="1"/>
  <c r="C76" i="24" s="1"/>
  <c r="C31" i="2"/>
  <c r="C125" i="3" s="1"/>
  <c r="C49" i="24" s="1"/>
  <c r="C30" i="2"/>
  <c r="C118" i="3" s="1"/>
  <c r="C48" i="24" s="1"/>
  <c r="B31" i="2"/>
  <c r="B30" i="2"/>
  <c r="C117" i="3" s="1"/>
  <c r="C20" i="24" s="1"/>
  <c r="A31" i="2"/>
  <c r="A30"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F110" i="2"/>
  <c r="F109" i="2"/>
  <c r="F108" i="2"/>
  <c r="E110" i="2"/>
  <c r="E109" i="2"/>
  <c r="E108" i="2"/>
  <c r="D110" i="2"/>
  <c r="D109" i="2"/>
  <c r="D108" i="2"/>
  <c r="C108" i="2"/>
  <c r="C110" i="2"/>
  <c r="C109" i="2"/>
  <c r="B110" i="2"/>
  <c r="B109" i="2"/>
  <c r="B108" i="2"/>
  <c r="XFD110" i="2"/>
  <c r="XFD109" i="2"/>
  <c r="G233" i="21"/>
  <c r="G216" i="21"/>
  <c r="G199" i="21"/>
  <c r="G182" i="21"/>
  <c r="G165" i="21"/>
  <c r="G148" i="21"/>
  <c r="G131" i="21"/>
  <c r="G114" i="21"/>
  <c r="G80" i="21"/>
  <c r="G63" i="21"/>
  <c r="G46" i="21"/>
  <c r="G29" i="21"/>
  <c r="G12" i="21"/>
  <c r="F44" i="2"/>
  <c r="E44" i="2"/>
  <c r="D44" i="2"/>
  <c r="C44" i="2"/>
  <c r="B44" i="2"/>
  <c r="E32" i="2"/>
  <c r="L13" i="3"/>
  <c r="C13" i="3" s="1"/>
  <c r="B17" i="2" s="1"/>
  <c r="L12" i="3"/>
  <c r="C12" i="3" s="1"/>
  <c r="L11" i="3"/>
  <c r="C11" i="3" s="1"/>
  <c r="L10" i="3"/>
  <c r="C10" i="3" s="1"/>
  <c r="L9" i="3"/>
  <c r="C9" i="3" s="1"/>
  <c r="L8" i="3"/>
  <c r="C8" i="3" s="1"/>
  <c r="B12"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8" i="2"/>
  <c r="G189" i="21"/>
  <c r="I189" i="21"/>
  <c r="H189" i="21"/>
  <c r="E189" i="21"/>
  <c r="F189" i="21"/>
  <c r="F173" i="21"/>
  <c r="E173" i="21"/>
  <c r="H173" i="21"/>
  <c r="G173" i="21"/>
  <c r="I173" i="21"/>
  <c r="A2" i="2"/>
  <c r="F11" i="21"/>
  <c r="F12" i="21"/>
  <c r="F14" i="21"/>
  <c r="F15" i="21"/>
  <c r="D157" i="2"/>
  <c r="D121" i="24" s="1"/>
  <c r="C157" i="2"/>
  <c r="B157" i="2"/>
  <c r="B121" i="24" s="1"/>
  <c r="A157" i="2"/>
  <c r="A121" i="24" s="1"/>
  <c r="D149" i="2"/>
  <c r="D93" i="24" s="1"/>
  <c r="C149" i="2"/>
  <c r="B149" i="2"/>
  <c r="B93" i="24" s="1"/>
  <c r="A149" i="2"/>
  <c r="A93" i="24" s="1"/>
  <c r="D141" i="2"/>
  <c r="D65" i="24" s="1"/>
  <c r="C141" i="2"/>
  <c r="B141" i="2"/>
  <c r="B65" i="24" s="1"/>
  <c r="A141" i="2"/>
  <c r="A65" i="24" s="1"/>
  <c r="D133" i="2"/>
  <c r="D37" i="24" s="1"/>
  <c r="C133" i="2"/>
  <c r="C37" i="24" s="1"/>
  <c r="B133" i="2"/>
  <c r="B37" i="24" s="1"/>
  <c r="A133" i="2"/>
  <c r="A37" i="24" s="1"/>
  <c r="D125" i="2"/>
  <c r="D9" i="24" s="1"/>
  <c r="C125" i="2"/>
  <c r="C9" i="24" s="1"/>
  <c r="B125" i="2"/>
  <c r="B9" i="24" s="1"/>
  <c r="B150" i="24" s="1"/>
  <c r="B124" i="2"/>
  <c r="B8" i="24" s="1"/>
  <c r="B149" i="24" s="1"/>
  <c r="A125" i="2"/>
  <c r="A9" i="24" s="1"/>
  <c r="A150" i="24" s="1"/>
  <c r="A20" i="3"/>
  <c r="A24" i="2" s="1"/>
  <c r="A19" i="3"/>
  <c r="A23" i="2" s="1"/>
  <c r="A18" i="3"/>
  <c r="A22" i="2" s="1"/>
  <c r="A17" i="3"/>
  <c r="A21" i="2" s="1"/>
  <c r="A16" i="3"/>
  <c r="A20" i="2" s="1"/>
  <c r="B22" i="23"/>
  <c r="E14" i="22"/>
  <c r="F88" i="2" s="1"/>
  <c r="B2" i="23"/>
  <c r="B8" i="2" s="1"/>
  <c r="D156" i="2"/>
  <c r="D155" i="2"/>
  <c r="D119" i="24" s="1"/>
  <c r="D154" i="2"/>
  <c r="D118" i="24" s="1"/>
  <c r="D153" i="2"/>
  <c r="D117" i="24" s="1"/>
  <c r="D152" i="2"/>
  <c r="D116" i="24" s="1"/>
  <c r="C156" i="2"/>
  <c r="C120" i="24" s="1"/>
  <c r="C155" i="2"/>
  <c r="C119" i="24" s="1"/>
  <c r="C154" i="2"/>
  <c r="C153" i="2"/>
  <c r="C152" i="2"/>
  <c r="D148" i="2"/>
  <c r="D92" i="24" s="1"/>
  <c r="D147" i="2"/>
  <c r="D91" i="24" s="1"/>
  <c r="D146" i="2"/>
  <c r="D90" i="24" s="1"/>
  <c r="D145" i="2"/>
  <c r="D89" i="24" s="1"/>
  <c r="D144" i="2"/>
  <c r="D88" i="24" s="1"/>
  <c r="C148" i="2"/>
  <c r="C92" i="24" s="1"/>
  <c r="C147" i="2"/>
  <c r="C91" i="24" s="1"/>
  <c r="C146" i="2"/>
  <c r="C90" i="24" s="1"/>
  <c r="C145" i="2"/>
  <c r="C89" i="24" s="1"/>
  <c r="C144" i="2"/>
  <c r="C88" i="24" s="1"/>
  <c r="D140" i="2"/>
  <c r="D64" i="24" s="1"/>
  <c r="D139" i="2"/>
  <c r="D63" i="24" s="1"/>
  <c r="D138" i="2"/>
  <c r="D62" i="24" s="1"/>
  <c r="D137" i="2"/>
  <c r="D61" i="24" s="1"/>
  <c r="D136" i="2"/>
  <c r="D60" i="24" s="1"/>
  <c r="C140" i="2"/>
  <c r="C64" i="24" s="1"/>
  <c r="C139" i="2"/>
  <c r="C138" i="2"/>
  <c r="C62" i="24" s="1"/>
  <c r="C137" i="2"/>
  <c r="C136" i="2"/>
  <c r="C60" i="24" s="1"/>
  <c r="B156" i="2"/>
  <c r="B120" i="24" s="1"/>
  <c r="B155" i="2"/>
  <c r="B119" i="24" s="1"/>
  <c r="B154" i="2"/>
  <c r="B118" i="24" s="1"/>
  <c r="B153" i="2"/>
  <c r="B117" i="24" s="1"/>
  <c r="B152" i="2"/>
  <c r="B116" i="24" s="1"/>
  <c r="B148" i="2"/>
  <c r="B92" i="24" s="1"/>
  <c r="B147" i="2"/>
  <c r="B91" i="24" s="1"/>
  <c r="B146" i="2"/>
  <c r="B90" i="24" s="1"/>
  <c r="B145" i="2"/>
  <c r="B89" i="24" s="1"/>
  <c r="B144" i="2"/>
  <c r="B88" i="24" s="1"/>
  <c r="B140" i="2"/>
  <c r="B64" i="24" s="1"/>
  <c r="B139" i="2"/>
  <c r="B63" i="24" s="1"/>
  <c r="B138" i="2"/>
  <c r="B62" i="24" s="1"/>
  <c r="B137" i="2"/>
  <c r="B61" i="24" s="1"/>
  <c r="B136" i="2"/>
  <c r="B60" i="24" s="1"/>
  <c r="B132" i="2"/>
  <c r="B36" i="24" s="1"/>
  <c r="B131" i="2"/>
  <c r="B35" i="24" s="1"/>
  <c r="B130" i="2"/>
  <c r="B34" i="24" s="1"/>
  <c r="B129" i="2"/>
  <c r="B33" i="24" s="1"/>
  <c r="B128" i="2"/>
  <c r="B32" i="24" s="1"/>
  <c r="D132" i="2"/>
  <c r="D36" i="24" s="1"/>
  <c r="D131" i="2"/>
  <c r="D35" i="24" s="1"/>
  <c r="D130" i="2"/>
  <c r="D34" i="24" s="1"/>
  <c r="D129" i="2"/>
  <c r="D33" i="24" s="1"/>
  <c r="D128" i="2"/>
  <c r="D32" i="24" s="1"/>
  <c r="C132" i="2"/>
  <c r="C36" i="24" s="1"/>
  <c r="C131" i="2"/>
  <c r="C130" i="2"/>
  <c r="C129" i="2"/>
  <c r="C33" i="24" s="1"/>
  <c r="C128" i="2"/>
  <c r="C32" i="24" s="1"/>
  <c r="B123" i="2"/>
  <c r="B7" i="24" s="1"/>
  <c r="B148" i="24" s="1"/>
  <c r="B122" i="2"/>
  <c r="B6" i="24" s="1"/>
  <c r="B147" i="24" s="1"/>
  <c r="B121" i="2"/>
  <c r="B5" i="24" s="1"/>
  <c r="B146" i="24" s="1"/>
  <c r="B120" i="2"/>
  <c r="B4" i="24" s="1"/>
  <c r="B145" i="24" s="1"/>
  <c r="D124" i="2"/>
  <c r="D8" i="24" s="1"/>
  <c r="D123" i="2"/>
  <c r="D7" i="24" s="1"/>
  <c r="D122" i="2"/>
  <c r="D6" i="24" s="1"/>
  <c r="D121" i="2"/>
  <c r="D5" i="24" s="1"/>
  <c r="D120" i="2"/>
  <c r="D4" i="24" s="1"/>
  <c r="C124" i="2"/>
  <c r="C123" i="2"/>
  <c r="C122" i="2"/>
  <c r="C6" i="24" s="1"/>
  <c r="C121" i="2"/>
  <c r="C5" i="24" s="1"/>
  <c r="C120" i="2"/>
  <c r="C4" i="24" s="1"/>
  <c r="A156" i="2"/>
  <c r="A120" i="24" s="1"/>
  <c r="A155" i="2"/>
  <c r="A119" i="24" s="1"/>
  <c r="A154" i="2"/>
  <c r="A118" i="24" s="1"/>
  <c r="A153" i="2"/>
  <c r="A117" i="24" s="1"/>
  <c r="A148" i="2"/>
  <c r="A92" i="24" s="1"/>
  <c r="A147" i="2"/>
  <c r="A91" i="24" s="1"/>
  <c r="A146" i="2"/>
  <c r="A90" i="24" s="1"/>
  <c r="A145" i="2"/>
  <c r="A89" i="24" s="1"/>
  <c r="A140" i="2"/>
  <c r="A64" i="24" s="1"/>
  <c r="A139" i="2"/>
  <c r="A63" i="24" s="1"/>
  <c r="A138" i="2"/>
  <c r="A62" i="24" s="1"/>
  <c r="A137" i="2"/>
  <c r="A61" i="24" s="1"/>
  <c r="A132" i="2"/>
  <c r="A36" i="24" s="1"/>
  <c r="A131" i="2"/>
  <c r="A35" i="24" s="1"/>
  <c r="A130" i="2"/>
  <c r="A34" i="24" s="1"/>
  <c r="A129" i="2"/>
  <c r="A33" i="24" s="1"/>
  <c r="A124" i="2"/>
  <c r="A8" i="24" s="1"/>
  <c r="A149" i="24" s="1"/>
  <c r="A123" i="2"/>
  <c r="A7" i="24" s="1"/>
  <c r="A148" i="24" s="1"/>
  <c r="A122" i="2"/>
  <c r="A6" i="24" s="1"/>
  <c r="A147" i="24" s="1"/>
  <c r="A121" i="2"/>
  <c r="A5" i="24" s="1"/>
  <c r="A146" i="24" s="1"/>
  <c r="F82" i="5"/>
  <c r="F80" i="2" s="1"/>
  <c r="E82" i="5"/>
  <c r="E80" i="2" s="1"/>
  <c r="D82" i="5"/>
  <c r="D80" i="2" s="1"/>
  <c r="C82" i="5"/>
  <c r="C80" i="2" s="1"/>
  <c r="B82" i="5"/>
  <c r="B80" i="2" s="1"/>
  <c r="F76" i="2"/>
  <c r="E76" i="2"/>
  <c r="D76" i="2"/>
  <c r="C76" i="2"/>
  <c r="B76" i="2"/>
  <c r="C76" i="5"/>
  <c r="C79" i="2" s="1"/>
  <c r="B76" i="5"/>
  <c r="B79"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6" i="5"/>
  <c r="D79" i="2" s="1"/>
  <c r="E76" i="5"/>
  <c r="E79" i="2" s="1"/>
  <c r="F76" i="5"/>
  <c r="F79" i="2" s="1"/>
  <c r="A82" i="2"/>
  <c r="F32" i="7"/>
  <c r="F84" i="2" s="1"/>
  <c r="E32" i="7"/>
  <c r="E84" i="2" s="1"/>
  <c r="B32" i="7"/>
  <c r="B24" i="7"/>
  <c r="A86" i="2"/>
  <c r="G46" i="7"/>
  <c r="A85" i="2"/>
  <c r="G38" i="7"/>
  <c r="A84" i="2"/>
  <c r="A83" i="2"/>
  <c r="G30" i="7"/>
  <c r="G22" i="7"/>
  <c r="B40" i="7"/>
  <c r="E40" i="7"/>
  <c r="E85" i="2" s="1"/>
  <c r="C48" i="7"/>
  <c r="C86" i="2" s="1"/>
  <c r="E48" i="7"/>
  <c r="E86" i="2" s="1"/>
  <c r="F40" i="7"/>
  <c r="D48" i="7"/>
  <c r="D86" i="2" s="1"/>
  <c r="C40" i="7"/>
  <c r="C85" i="2" s="1"/>
  <c r="D40" i="7"/>
  <c r="D85" i="2" s="1"/>
  <c r="B48" i="7"/>
  <c r="F48" i="7"/>
  <c r="F86" i="2" s="1"/>
  <c r="D32" i="7"/>
  <c r="D84" i="2" s="1"/>
  <c r="C32" i="7"/>
  <c r="C84" i="2" s="1"/>
  <c r="E24" i="7"/>
  <c r="E83" i="2" s="1"/>
  <c r="F24" i="7"/>
  <c r="F83" i="2" s="1"/>
  <c r="C24" i="7"/>
  <c r="C83" i="2" s="1"/>
  <c r="D24" i="7"/>
  <c r="D83" i="2" s="1"/>
  <c r="E139" i="21"/>
  <c r="H20" i="21"/>
  <c r="E20" i="21"/>
  <c r="I20" i="21"/>
  <c r="H156" i="21"/>
  <c r="H139" i="21"/>
  <c r="F156" i="21"/>
  <c r="I139" i="21"/>
  <c r="G156" i="21"/>
  <c r="I156" i="21"/>
  <c r="F20" i="21"/>
  <c r="G20" i="21"/>
  <c r="G139" i="21"/>
  <c r="F139" i="21"/>
  <c r="E156" i="21"/>
  <c r="G47" i="7"/>
  <c r="G39" i="7"/>
  <c r="G31" i="7"/>
  <c r="G23" i="7"/>
  <c r="D16" i="7"/>
  <c r="B95" i="5"/>
  <c r="B89" i="2" s="1"/>
  <c r="B70" i="5"/>
  <c r="B78" i="2" s="1"/>
  <c r="C70" i="5"/>
  <c r="C78" i="2" s="1"/>
  <c r="F53" i="5"/>
  <c r="F75" i="2" s="1"/>
  <c r="E53" i="5"/>
  <c r="E75" i="2" s="1"/>
  <c r="D53" i="5"/>
  <c r="D75" i="2" s="1"/>
  <c r="C53" i="5"/>
  <c r="C75" i="2" s="1"/>
  <c r="F32" i="2"/>
  <c r="D32" i="2"/>
  <c r="C32" i="2"/>
  <c r="B33" i="2"/>
  <c r="B32" i="2"/>
  <c r="A27" i="2"/>
  <c r="D20" i="3"/>
  <c r="D19" i="3"/>
  <c r="D18" i="3"/>
  <c r="D17" i="3"/>
  <c r="D16" i="3"/>
  <c r="D15" i="3"/>
  <c r="F63" i="5"/>
  <c r="F77" i="2" s="1"/>
  <c r="E63" i="5"/>
  <c r="E77" i="2" s="1"/>
  <c r="D63" i="5"/>
  <c r="D77" i="2" s="1"/>
  <c r="C63" i="5"/>
  <c r="C77" i="2" s="1"/>
  <c r="B63" i="5"/>
  <c r="B77" i="2" s="1"/>
  <c r="F53" i="2"/>
  <c r="F54" i="2"/>
  <c r="F55" i="2"/>
  <c r="F56" i="2"/>
  <c r="F57" i="2"/>
  <c r="F58" i="2"/>
  <c r="E53" i="2"/>
  <c r="E54" i="2"/>
  <c r="E55" i="2"/>
  <c r="E56" i="2"/>
  <c r="E57" i="2"/>
  <c r="E58" i="2"/>
  <c r="D53" i="2"/>
  <c r="D54" i="2"/>
  <c r="D55" i="2"/>
  <c r="D56" i="2"/>
  <c r="D57" i="2"/>
  <c r="D58" i="2"/>
  <c r="C53" i="2"/>
  <c r="C54" i="2"/>
  <c r="C55" i="2"/>
  <c r="C56" i="2"/>
  <c r="C57" i="2"/>
  <c r="C58" i="2"/>
  <c r="B53" i="2"/>
  <c r="B54" i="2"/>
  <c r="B55" i="2"/>
  <c r="B56" i="2"/>
  <c r="B57" i="2"/>
  <c r="B58" i="2"/>
  <c r="A57" i="2"/>
  <c r="A56" i="2"/>
  <c r="A55" i="2"/>
  <c r="A54" i="2"/>
  <c r="A43" i="2"/>
  <c r="F34" i="2"/>
  <c r="F33" i="2"/>
  <c r="E34" i="2"/>
  <c r="E33" i="2"/>
  <c r="D34" i="2"/>
  <c r="D33" i="2"/>
  <c r="C34" i="2"/>
  <c r="C33" i="2"/>
  <c r="B34" i="2"/>
  <c r="A34" i="2"/>
  <c r="A33" i="2"/>
  <c r="B20" i="3"/>
  <c r="F27" i="2"/>
  <c r="F28" i="2"/>
  <c r="C107" i="3" s="1"/>
  <c r="C130" i="24" s="1"/>
  <c r="F29" i="2"/>
  <c r="C114" i="3" s="1"/>
  <c r="C131" i="24" s="1"/>
  <c r="E27" i="2"/>
  <c r="E28" i="2"/>
  <c r="C106" i="3" s="1"/>
  <c r="C102" i="24" s="1"/>
  <c r="E29" i="2"/>
  <c r="C113" i="3" s="1"/>
  <c r="C103" i="24" s="1"/>
  <c r="E70" i="5"/>
  <c r="E78" i="2" s="1"/>
  <c r="E102" i="5"/>
  <c r="E90" i="2" s="1"/>
  <c r="D27" i="2"/>
  <c r="D28" i="2"/>
  <c r="C105" i="3" s="1"/>
  <c r="C74" i="24" s="1"/>
  <c r="D29" i="2"/>
  <c r="C112" i="3" s="1"/>
  <c r="C75" i="24" s="1"/>
  <c r="D70" i="5"/>
  <c r="D78" i="2" s="1"/>
  <c r="D102" i="5"/>
  <c r="D90" i="2" s="1"/>
  <c r="C27" i="2"/>
  <c r="C28" i="2"/>
  <c r="C104" i="3" s="1"/>
  <c r="C29" i="2"/>
  <c r="C111" i="3" s="1"/>
  <c r="C47" i="24" s="1"/>
  <c r="B27" i="2"/>
  <c r="B28" i="2"/>
  <c r="B29" i="2"/>
  <c r="C110" i="3" s="1"/>
  <c r="B16" i="7"/>
  <c r="B19" i="3"/>
  <c r="B18" i="3"/>
  <c r="B16" i="3"/>
  <c r="B15" i="3"/>
  <c r="G14" i="7"/>
  <c r="F70" i="5"/>
  <c r="F78" i="2" s="1"/>
  <c r="C102" i="5"/>
  <c r="C90" i="2" s="1"/>
  <c r="B102" i="5"/>
  <c r="B90" i="2" s="1"/>
  <c r="A58" i="2"/>
  <c r="A53" i="2"/>
  <c r="A42" i="2"/>
  <c r="A41" i="2"/>
  <c r="A40" i="2"/>
  <c r="A32" i="2"/>
  <c r="A29" i="2"/>
  <c r="A28" i="2"/>
  <c r="F102" i="5"/>
  <c r="F90" i="2" s="1"/>
  <c r="C16" i="7"/>
  <c r="E16" i="7"/>
  <c r="E82" i="2" s="1"/>
  <c r="F16" i="7"/>
  <c r="F82" i="2" s="1"/>
  <c r="B17" i="3"/>
  <c r="B53" i="5"/>
  <c r="B75" i="2" s="1"/>
  <c r="F95" i="5"/>
  <c r="F89" i="2" s="1"/>
  <c r="E95" i="5"/>
  <c r="E89" i="2" s="1"/>
  <c r="D95" i="5"/>
  <c r="D89" i="2" s="1"/>
  <c r="C95" i="5"/>
  <c r="C89" i="2" s="1"/>
  <c r="G43" i="2"/>
  <c r="G15" i="7"/>
  <c r="C18" i="5"/>
  <c r="D18" i="5"/>
  <c r="E18" i="5"/>
  <c r="F18" i="5"/>
  <c r="B3" i="23" l="1"/>
  <c r="B9" i="2" s="1"/>
  <c r="D146" i="3"/>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98" i="3"/>
  <c r="C73" i="24" s="1"/>
  <c r="C100" i="3"/>
  <c r="C129" i="24" s="1"/>
  <c r="C97" i="3"/>
  <c r="C45" i="24" s="1"/>
  <c r="C99" i="3"/>
  <c r="C101" i="24" s="1"/>
  <c r="F126" i="24"/>
  <c r="F70" i="24"/>
  <c r="D34" i="7"/>
  <c r="F34" i="7"/>
  <c r="E34" i="7"/>
  <c r="C34" i="7"/>
  <c r="B34" i="7"/>
  <c r="B85" i="2"/>
  <c r="B42" i="7"/>
  <c r="C42" i="7" s="1"/>
  <c r="D42" i="7" s="1"/>
  <c r="B50" i="7"/>
  <c r="B26" i="7"/>
  <c r="C26" i="7" s="1"/>
  <c r="D82" i="2"/>
  <c r="D81" i="2" s="1"/>
  <c r="B18" i="7"/>
  <c r="A19" i="24"/>
  <c r="B13" i="24"/>
  <c r="B154" i="24"/>
  <c r="B14" i="24"/>
  <c r="B155" i="24"/>
  <c r="B12" i="24"/>
  <c r="B153" i="24"/>
  <c r="F42" i="24"/>
  <c r="A130" i="24"/>
  <c r="D85" i="3"/>
  <c r="D97" i="24" s="1"/>
  <c r="F97" i="24" s="1"/>
  <c r="F86" i="21"/>
  <c r="F87" i="21" s="1"/>
  <c r="B86" i="2"/>
  <c r="G86" i="2" s="1"/>
  <c r="E239" i="21"/>
  <c r="H239" i="21"/>
  <c r="F188" i="21"/>
  <c r="F190" i="21" s="1"/>
  <c r="D86" i="3"/>
  <c r="D125" i="24" s="1"/>
  <c r="F125" i="24" s="1"/>
  <c r="H188" i="21"/>
  <c r="H190" i="21" s="1"/>
  <c r="F222" i="21"/>
  <c r="B84" i="2"/>
  <c r="G84" i="2" s="1"/>
  <c r="E188" i="21"/>
  <c r="E190" i="21" s="1"/>
  <c r="F171" i="21"/>
  <c r="F172" i="21" s="1"/>
  <c r="F137" i="21"/>
  <c r="F138" i="21" s="1"/>
  <c r="E155" i="24"/>
  <c r="H86" i="21"/>
  <c r="H87" i="21" s="1"/>
  <c r="I86" i="21"/>
  <c r="I87" i="21" s="1"/>
  <c r="G188" i="21"/>
  <c r="G190" i="21" s="1"/>
  <c r="I35" i="21"/>
  <c r="F35" i="21"/>
  <c r="B82" i="2"/>
  <c r="B83" i="2"/>
  <c r="G83" i="2" s="1"/>
  <c r="D82" i="3"/>
  <c r="D13" i="24" s="1"/>
  <c r="F13" i="24" s="1"/>
  <c r="D84" i="3"/>
  <c r="D69" i="24" s="1"/>
  <c r="F69" i="24" s="1"/>
  <c r="D83" i="3"/>
  <c r="D41" i="24" s="1"/>
  <c r="F41" i="24" s="1"/>
  <c r="D78" i="3"/>
  <c r="D96" i="24" s="1"/>
  <c r="E153" i="2"/>
  <c r="E117" i="24" s="1"/>
  <c r="F98" i="24"/>
  <c r="E146" i="2"/>
  <c r="E90" i="24" s="1"/>
  <c r="E140" i="2"/>
  <c r="E64" i="24" s="1"/>
  <c r="E137" i="2"/>
  <c r="E61" i="24" s="1"/>
  <c r="E154" i="24"/>
  <c r="G42" i="2"/>
  <c r="G16" i="7"/>
  <c r="G80" i="2"/>
  <c r="G77"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2" i="2"/>
  <c r="F85" i="2"/>
  <c r="F81" i="2" s="1"/>
  <c r="F161" i="2" s="1"/>
  <c r="F173" i="24" s="1"/>
  <c r="E124" i="2"/>
  <c r="E8" i="24" s="1"/>
  <c r="I188" i="21"/>
  <c r="I190" i="21" s="1"/>
  <c r="E205" i="21"/>
  <c r="A20" i="24"/>
  <c r="C153" i="24"/>
  <c r="C155" i="24"/>
  <c r="G41" i="2"/>
  <c r="E131" i="2"/>
  <c r="E35" i="24" s="1"/>
  <c r="A103" i="24"/>
  <c r="B161" i="24"/>
  <c r="B162" i="24"/>
  <c r="D76" i="3"/>
  <c r="D40" i="24" s="1"/>
  <c r="A131" i="24"/>
  <c r="B158" i="24"/>
  <c r="A21" i="24"/>
  <c r="B159" i="24"/>
  <c r="E139" i="2"/>
  <c r="E63" i="24" s="1"/>
  <c r="A75" i="24"/>
  <c r="F111" i="2"/>
  <c r="F112" i="2" s="1"/>
  <c r="C154" i="24"/>
  <c r="D111" i="2"/>
  <c r="D112" i="2" s="1"/>
  <c r="D104" i="3"/>
  <c r="D46" i="24" s="1"/>
  <c r="D96" i="3"/>
  <c r="D17" i="24" s="1"/>
  <c r="D77" i="3"/>
  <c r="D68" i="24" s="1"/>
  <c r="G89" i="2"/>
  <c r="E59" i="2"/>
  <c r="E72" i="2"/>
  <c r="E145" i="2"/>
  <c r="E89" i="24" s="1"/>
  <c r="D79" i="3"/>
  <c r="E79" i="3" s="1"/>
  <c r="E124" i="24" s="1"/>
  <c r="F72" i="2"/>
  <c r="C8" i="24"/>
  <c r="C149" i="24" s="1"/>
  <c r="E156" i="2"/>
  <c r="E120" i="24" s="1"/>
  <c r="E149" i="2"/>
  <c r="E93" i="24" s="1"/>
  <c r="G92" i="2"/>
  <c r="G76" i="2"/>
  <c r="C35" i="24"/>
  <c r="C61" i="24"/>
  <c r="E147" i="2"/>
  <c r="E91" i="24" s="1"/>
  <c r="G55" i="2"/>
  <c r="G108" i="2"/>
  <c r="G32" i="2"/>
  <c r="E132" i="2"/>
  <c r="E36" i="24" s="1"/>
  <c r="C63" i="24"/>
  <c r="E148" i="2"/>
  <c r="E92" i="24" s="1"/>
  <c r="E133" i="2"/>
  <c r="E37" i="24" s="1"/>
  <c r="E111" i="2"/>
  <c r="E112" i="2" s="1"/>
  <c r="E46" i="2"/>
  <c r="G53" i="2"/>
  <c r="G33" i="2"/>
  <c r="C117" i="24"/>
  <c r="G110" i="2"/>
  <c r="G93" i="2"/>
  <c r="G87" i="2"/>
  <c r="C17" i="24"/>
  <c r="C46" i="24"/>
  <c r="E129" i="2"/>
  <c r="E33" i="24" s="1"/>
  <c r="A49" i="2"/>
  <c r="G34" i="2"/>
  <c r="G109" i="2"/>
  <c r="C93" i="24"/>
  <c r="B111" i="2"/>
  <c r="B112" i="2" s="1"/>
  <c r="B59" i="2"/>
  <c r="G94" i="2"/>
  <c r="G68" i="2"/>
  <c r="G56" i="2"/>
  <c r="F59" i="2"/>
  <c r="C72" i="2"/>
  <c r="F46" i="2"/>
  <c r="D148" i="24"/>
  <c r="G69" i="2"/>
  <c r="G75" i="2"/>
  <c r="D72" i="2"/>
  <c r="E122" i="2"/>
  <c r="E6" i="24" s="1"/>
  <c r="E136" i="2"/>
  <c r="E60" i="24" s="1"/>
  <c r="G71" i="2"/>
  <c r="D146" i="24"/>
  <c r="G27" i="2"/>
  <c r="G57" i="2"/>
  <c r="D147" i="24"/>
  <c r="G90" i="2"/>
  <c r="G70" i="2"/>
  <c r="C59" i="2"/>
  <c r="E120" i="2"/>
  <c r="E4" i="24" s="1"/>
  <c r="G58" i="2"/>
  <c r="C111" i="2"/>
  <c r="C112" i="2" s="1"/>
  <c r="G91" i="2"/>
  <c r="E144" i="2"/>
  <c r="E88" i="24" s="1"/>
  <c r="E128" i="2"/>
  <c r="E32" i="24" s="1"/>
  <c r="E155" i="2"/>
  <c r="E119" i="24" s="1"/>
  <c r="E125" i="2"/>
  <c r="E9" i="24" s="1"/>
  <c r="G44" i="2"/>
  <c r="C19" i="24"/>
  <c r="C160" i="24" s="1"/>
  <c r="D110" i="3"/>
  <c r="D19" i="24" s="1"/>
  <c r="D155" i="24"/>
  <c r="F14" i="24"/>
  <c r="I137" i="21"/>
  <c r="I138" i="21" s="1"/>
  <c r="C161" i="24"/>
  <c r="G103" i="21"/>
  <c r="G104" i="21" s="1"/>
  <c r="C118" i="24"/>
  <c r="E154" i="2"/>
  <c r="E118" i="24" s="1"/>
  <c r="E141" i="2"/>
  <c r="E65" i="24" s="1"/>
  <c r="C65" i="24"/>
  <c r="G120" i="21"/>
  <c r="G121" i="21" s="1"/>
  <c r="H205" i="21"/>
  <c r="I205" i="21"/>
  <c r="D145" i="24"/>
  <c r="G45" i="2"/>
  <c r="H52" i="21"/>
  <c r="H53" i="21" s="1"/>
  <c r="G24" i="7"/>
  <c r="G29" i="2"/>
  <c r="G69" i="21"/>
  <c r="G70" i="21" s="1"/>
  <c r="E171" i="21"/>
  <c r="E172" i="21" s="1"/>
  <c r="I239" i="21"/>
  <c r="G30" i="2"/>
  <c r="I103" i="21"/>
  <c r="I104" i="21" s="1"/>
  <c r="G52" i="21"/>
  <c r="G53" i="21" s="1"/>
  <c r="G239" i="21"/>
  <c r="D59" i="2"/>
  <c r="G32" i="7"/>
  <c r="H154" i="21"/>
  <c r="H155" i="21" s="1"/>
  <c r="G35" i="21"/>
  <c r="I154" i="21"/>
  <c r="I155" i="21" s="1"/>
  <c r="G79" i="2"/>
  <c r="E157" i="2"/>
  <c r="E121" i="24" s="1"/>
  <c r="C121" i="24"/>
  <c r="G31" i="2"/>
  <c r="G171" i="21"/>
  <c r="G172" i="21" s="1"/>
  <c r="G18" i="21"/>
  <c r="G19" i="21" s="1"/>
  <c r="G95" i="2"/>
  <c r="B46" i="2"/>
  <c r="E138" i="2"/>
  <c r="E62" i="24" s="1"/>
  <c r="G40" i="7"/>
  <c r="E81" i="2"/>
  <c r="G40" i="2"/>
  <c r="G54" i="2"/>
  <c r="C34" i="24"/>
  <c r="E130" i="2"/>
  <c r="E34" i="24" s="1"/>
  <c r="C46" i="2"/>
  <c r="D150" i="24"/>
  <c r="H137" i="21"/>
  <c r="H138" i="21" s="1"/>
  <c r="I222" i="21"/>
  <c r="E121" i="2"/>
  <c r="E5" i="24" s="1"/>
  <c r="E86" i="21"/>
  <c r="E87" i="21" s="1"/>
  <c r="F239" i="21"/>
  <c r="E69" i="21"/>
  <c r="E70" i="21" s="1"/>
  <c r="H171" i="21"/>
  <c r="H172" i="21" s="1"/>
  <c r="A73" i="24"/>
  <c r="A17" i="24"/>
  <c r="A129" i="24"/>
  <c r="A101" i="24"/>
  <c r="A12" i="2"/>
  <c r="A152" i="2"/>
  <c r="A116" i="24" s="1"/>
  <c r="A128" i="2"/>
  <c r="A32" i="24" s="1"/>
  <c r="C103" i="3"/>
  <c r="G28" i="2"/>
  <c r="G48" i="7"/>
  <c r="A74" i="24"/>
  <c r="A18" i="24"/>
  <c r="A102" i="24"/>
  <c r="E123" i="2"/>
  <c r="E7" i="24" s="1"/>
  <c r="C7" i="24"/>
  <c r="D75" i="3"/>
  <c r="H35" i="21"/>
  <c r="D46" i="2"/>
  <c r="G78" i="2"/>
  <c r="G67" i="2"/>
  <c r="B72" i="2"/>
  <c r="C116" i="24"/>
  <c r="C145" i="24" s="1"/>
  <c r="E152" i="2"/>
  <c r="E116" i="24" s="1"/>
  <c r="C124" i="3"/>
  <c r="C21" i="24" s="1"/>
  <c r="C162" i="24" s="1"/>
  <c r="D120" i="24"/>
  <c r="D149" i="24" s="1"/>
  <c r="A104" i="24"/>
  <c r="A105" i="24"/>
  <c r="D119" i="3"/>
  <c r="D76" i="24" s="1"/>
  <c r="E76" i="24" s="1"/>
  <c r="E113" i="2"/>
  <c r="A15" i="3"/>
  <c r="A19" i="2" s="1"/>
  <c r="A136" i="2"/>
  <c r="A60" i="24" s="1"/>
  <c r="A120" i="2"/>
  <c r="A4" i="24" s="1"/>
  <c r="A145" i="24" s="1"/>
  <c r="A144" i="2"/>
  <c r="A88" i="24" s="1"/>
  <c r="D105" i="3"/>
  <c r="D74" i="24" s="1"/>
  <c r="E74" i="24" s="1"/>
  <c r="C113" i="2"/>
  <c r="F113" i="2"/>
  <c r="D107" i="3"/>
  <c r="D130" i="24" s="1"/>
  <c r="E130" i="24" s="1"/>
  <c r="D106" i="3"/>
  <c r="D102" i="24" s="1"/>
  <c r="E102" i="24" s="1"/>
  <c r="D112" i="3"/>
  <c r="D75" i="24" s="1"/>
  <c r="E75" i="24" s="1"/>
  <c r="B113" i="2"/>
  <c r="D114" i="3"/>
  <c r="D131" i="24" s="1"/>
  <c r="E131" i="24" s="1"/>
  <c r="D113" i="3"/>
  <c r="D103" i="24" s="1"/>
  <c r="E103" i="24" s="1"/>
  <c r="D113" i="2"/>
  <c r="F14" i="2"/>
  <c r="C17" i="3"/>
  <c r="F21" i="2" s="1"/>
  <c r="D14" i="2"/>
  <c r="D118" i="3"/>
  <c r="D48" i="24" s="1"/>
  <c r="E48" i="24" s="1"/>
  <c r="B88" i="2"/>
  <c r="D15" i="2"/>
  <c r="F15" i="2"/>
  <c r="E15" i="2"/>
  <c r="C15" i="2"/>
  <c r="C18" i="3"/>
  <c r="F16" i="2"/>
  <c r="B16" i="2"/>
  <c r="E16" i="2"/>
  <c r="D16" i="2"/>
  <c r="C16" i="2"/>
  <c r="C19" i="3"/>
  <c r="C17" i="2"/>
  <c r="F17" i="2"/>
  <c r="E17" i="2"/>
  <c r="C20" i="3"/>
  <c r="D17" i="2"/>
  <c r="F12" i="2"/>
  <c r="E12" i="2"/>
  <c r="D12" i="2"/>
  <c r="C12" i="2"/>
  <c r="C15" i="3"/>
  <c r="B15" i="2"/>
  <c r="E13" i="2"/>
  <c r="B13" i="2"/>
  <c r="D13" i="2"/>
  <c r="C13" i="2"/>
  <c r="F13" i="2"/>
  <c r="C16" i="3"/>
  <c r="D128" i="3"/>
  <c r="D133" i="24" s="1"/>
  <c r="E133" i="24" s="1"/>
  <c r="D117" i="3"/>
  <c r="D20" i="24" s="1"/>
  <c r="B14" i="2"/>
  <c r="D127" i="3"/>
  <c r="D105" i="24" s="1"/>
  <c r="E105" i="24" s="1"/>
  <c r="D120" i="3"/>
  <c r="D104" i="24" s="1"/>
  <c r="E104" i="24" s="1"/>
  <c r="D111" i="3"/>
  <c r="D47" i="24" s="1"/>
  <c r="C14" i="2"/>
  <c r="D125" i="3"/>
  <c r="D49" i="24" s="1"/>
  <c r="E49" i="24" s="1"/>
  <c r="C88" i="2"/>
  <c r="E14" i="2"/>
  <c r="D121" i="3"/>
  <c r="D132" i="24" s="1"/>
  <c r="E132" i="24" s="1"/>
  <c r="D88" i="2"/>
  <c r="D126" i="3"/>
  <c r="D77" i="24" s="1"/>
  <c r="E77" i="24" s="1"/>
  <c r="E88" i="2"/>
  <c r="C2" i="23" l="1"/>
  <c r="D99" i="3"/>
  <c r="D101" i="24" s="1"/>
  <c r="D98" i="3"/>
  <c r="D73" i="24" s="1"/>
  <c r="E56" i="24"/>
  <c r="E169" i="24" s="1"/>
  <c r="D169" i="24"/>
  <c r="E52" i="24"/>
  <c r="E165" i="24" s="1"/>
  <c r="D165" i="24"/>
  <c r="E82" i="24"/>
  <c r="E167" i="24" s="1"/>
  <c r="D167" i="24"/>
  <c r="E53" i="24"/>
  <c r="E166" i="24" s="1"/>
  <c r="D166" i="24"/>
  <c r="E83" i="24"/>
  <c r="E168" i="24" s="1"/>
  <c r="D168" i="24"/>
  <c r="E73" i="24"/>
  <c r="E101"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1" i="2"/>
  <c r="E78" i="3"/>
  <c r="E96" i="24" s="1"/>
  <c r="F96" i="24" s="1"/>
  <c r="E240" i="21"/>
  <c r="E241" i="21"/>
  <c r="F240" i="21"/>
  <c r="F241" i="21"/>
  <c r="E206" i="21"/>
  <c r="E207" i="21"/>
  <c r="F223" i="21"/>
  <c r="F224" i="21"/>
  <c r="I206" i="21"/>
  <c r="I207" i="21"/>
  <c r="G206" i="21"/>
  <c r="G207" i="21"/>
  <c r="G82" i="2"/>
  <c r="H240" i="21"/>
  <c r="H241" i="21"/>
  <c r="F206" i="21"/>
  <c r="F207" i="21"/>
  <c r="E223" i="21"/>
  <c r="E224" i="21"/>
  <c r="I223" i="21"/>
  <c r="I224" i="21"/>
  <c r="G85" i="2"/>
  <c r="G223" i="21"/>
  <c r="G224" i="21"/>
  <c r="H223" i="21"/>
  <c r="H224" i="21"/>
  <c r="I240" i="21"/>
  <c r="I241" i="21"/>
  <c r="H206" i="21"/>
  <c r="H207" i="21"/>
  <c r="G240" i="21"/>
  <c r="G241" i="21"/>
  <c r="F155" i="24"/>
  <c r="C81" i="2"/>
  <c r="C161" i="2" s="1"/>
  <c r="E19" i="24"/>
  <c r="G59" i="2"/>
  <c r="E76" i="3"/>
  <c r="E40" i="24" s="1"/>
  <c r="F40" i="24" s="1"/>
  <c r="E46" i="24"/>
  <c r="E77" i="3"/>
  <c r="E68" i="24" s="1"/>
  <c r="F68" i="24" s="1"/>
  <c r="C146" i="24"/>
  <c r="E149" i="24"/>
  <c r="C148" i="24"/>
  <c r="E148" i="24"/>
  <c r="D124" i="24"/>
  <c r="F124" i="24" s="1"/>
  <c r="E17" i="24"/>
  <c r="B114" i="2"/>
  <c r="D124" i="3"/>
  <c r="D21" i="24" s="1"/>
  <c r="E21" i="24" s="1"/>
  <c r="E162" i="24" s="1"/>
  <c r="E146" i="24"/>
  <c r="E150" i="24"/>
  <c r="G72" i="2"/>
  <c r="F96" i="2"/>
  <c r="G111" i="2"/>
  <c r="XFD111" i="2" s="1"/>
  <c r="C150" i="24"/>
  <c r="E145" i="24"/>
  <c r="E147" i="24"/>
  <c r="E75" i="3"/>
  <c r="E12" i="24" s="1"/>
  <c r="D12" i="24"/>
  <c r="C147" i="24"/>
  <c r="G154" i="2"/>
  <c r="G118" i="24" s="1"/>
  <c r="G46" i="2"/>
  <c r="F154" i="24"/>
  <c r="G34" i="7"/>
  <c r="D103" i="3"/>
  <c r="D18" i="24" s="1"/>
  <c r="C18" i="24"/>
  <c r="C159" i="24" s="1"/>
  <c r="D154" i="24"/>
  <c r="E114" i="2"/>
  <c r="F154" i="2"/>
  <c r="F118" i="24" s="1"/>
  <c r="F114" i="2"/>
  <c r="G113" i="2"/>
  <c r="D114" i="2"/>
  <c r="G12" i="2"/>
  <c r="E21" i="2"/>
  <c r="F146" i="2" s="1"/>
  <c r="F90" i="24" s="1"/>
  <c r="D21" i="2"/>
  <c r="G138" i="2" s="1"/>
  <c r="G62" i="24" s="1"/>
  <c r="C21" i="2"/>
  <c r="G130" i="2" s="1"/>
  <c r="G34" i="24" s="1"/>
  <c r="B21" i="2"/>
  <c r="G122" i="2" s="1"/>
  <c r="G6" i="24" s="1"/>
  <c r="E23" i="2"/>
  <c r="G148" i="2" s="1"/>
  <c r="G92" i="24" s="1"/>
  <c r="F23" i="2"/>
  <c r="G156" i="2" s="1"/>
  <c r="G120" i="24" s="1"/>
  <c r="C23" i="2"/>
  <c r="G132" i="2" s="1"/>
  <c r="G36" i="24" s="1"/>
  <c r="D23" i="2"/>
  <c r="G140" i="2" s="1"/>
  <c r="G64" i="24" s="1"/>
  <c r="B23" i="2"/>
  <c r="F124" i="2" s="1"/>
  <c r="F8" i="24" s="1"/>
  <c r="D161" i="2"/>
  <c r="D173" i="24" s="1"/>
  <c r="D96" i="2"/>
  <c r="G13" i="2"/>
  <c r="F22" i="2"/>
  <c r="G155" i="2" s="1"/>
  <c r="G119" i="24" s="1"/>
  <c r="C22" i="2"/>
  <c r="G131" i="2" s="1"/>
  <c r="G35" i="24" s="1"/>
  <c r="B22" i="2"/>
  <c r="F123" i="2" s="1"/>
  <c r="F7" i="24" s="1"/>
  <c r="D22" i="2"/>
  <c r="E22" i="2"/>
  <c r="F147" i="2" s="1"/>
  <c r="F91" i="24" s="1"/>
  <c r="G15" i="2"/>
  <c r="E19" i="2"/>
  <c r="F144" i="2" s="1"/>
  <c r="F88" i="24" s="1"/>
  <c r="B19" i="2"/>
  <c r="F19" i="2"/>
  <c r="C19" i="2"/>
  <c r="G128" i="2" s="1"/>
  <c r="G32" i="24" s="1"/>
  <c r="D19" i="2"/>
  <c r="F136" i="2" s="1"/>
  <c r="F60" i="24" s="1"/>
  <c r="C114" i="2"/>
  <c r="G112" i="2"/>
  <c r="G14" i="2"/>
  <c r="C24" i="2"/>
  <c r="F133" i="2" s="1"/>
  <c r="F37" i="24" s="1"/>
  <c r="B24" i="2"/>
  <c r="F24" i="2"/>
  <c r="G157" i="2" s="1"/>
  <c r="G121" i="24" s="1"/>
  <c r="E24" i="2"/>
  <c r="F149" i="2" s="1"/>
  <c r="F93" i="24" s="1"/>
  <c r="D24" i="2"/>
  <c r="G141" i="2" s="1"/>
  <c r="G65" i="24" s="1"/>
  <c r="G16" i="2"/>
  <c r="E96" i="2"/>
  <c r="E161" i="2"/>
  <c r="E173" i="24" s="1"/>
  <c r="F20" i="2"/>
  <c r="E20" i="2"/>
  <c r="C20" i="2"/>
  <c r="F129" i="2" s="1"/>
  <c r="F33" i="24" s="1"/>
  <c r="B20" i="2"/>
  <c r="G121" i="2" s="1"/>
  <c r="G5" i="24" s="1"/>
  <c r="D20" i="2"/>
  <c r="G137" i="2" s="1"/>
  <c r="G61" i="24" s="1"/>
  <c r="G17" i="2"/>
  <c r="G88" i="2"/>
  <c r="E47" i="24"/>
  <c r="D160" i="24"/>
  <c r="D161" i="24"/>
  <c r="E20" i="24"/>
  <c r="E161" i="24" s="1"/>
  <c r="C3" i="23" l="1"/>
  <c r="C9" i="2" s="1"/>
  <c r="C8" i="2"/>
  <c r="C49" i="2"/>
  <c r="F49" i="2"/>
  <c r="B49" i="2"/>
  <c r="E49" i="2"/>
  <c r="D49" i="2"/>
  <c r="B161" i="2"/>
  <c r="B173" i="24" s="1"/>
  <c r="E158" i="24"/>
  <c r="D158" i="24"/>
  <c r="D50" i="7"/>
  <c r="D18" i="7"/>
  <c r="E18" i="7" s="1"/>
  <c r="F26" i="7"/>
  <c r="G26" i="7" s="1"/>
  <c r="E50" i="7"/>
  <c r="G244" i="21"/>
  <c r="D63" i="2" s="1"/>
  <c r="F243" i="21"/>
  <c r="C62" i="2" s="1"/>
  <c r="G243" i="21"/>
  <c r="D62" i="2" s="1"/>
  <c r="I244" i="21"/>
  <c r="F63" i="2" s="1"/>
  <c r="F244" i="21"/>
  <c r="C63" i="2" s="1"/>
  <c r="B96" i="2"/>
  <c r="I243" i="21"/>
  <c r="F62" i="2" s="1"/>
  <c r="E244" i="21"/>
  <c r="B63" i="2" s="1"/>
  <c r="E243" i="21"/>
  <c r="B62" i="2" s="1"/>
  <c r="H244" i="21"/>
  <c r="E63" i="2" s="1"/>
  <c r="H243" i="21"/>
  <c r="E62" i="2" s="1"/>
  <c r="C96" i="2"/>
  <c r="G81" i="2"/>
  <c r="E160" i="24"/>
  <c r="E153" i="24"/>
  <c r="D153" i="24"/>
  <c r="D162" i="24"/>
  <c r="F156" i="2"/>
  <c r="F120" i="24" s="1"/>
  <c r="H120" i="24" s="1"/>
  <c r="H118" i="24"/>
  <c r="E18" i="24"/>
  <c r="E159" i="24" s="1"/>
  <c r="F132" i="2"/>
  <c r="F36" i="24" s="1"/>
  <c r="H36" i="24" s="1"/>
  <c r="D159" i="24"/>
  <c r="G144" i="2"/>
  <c r="G88" i="24" s="1"/>
  <c r="H88" i="24" s="1"/>
  <c r="G146" i="2"/>
  <c r="G90" i="24" s="1"/>
  <c r="G147" i="24" s="1"/>
  <c r="F12" i="24"/>
  <c r="F153" i="24" s="1"/>
  <c r="F122" i="2"/>
  <c r="F6" i="24" s="1"/>
  <c r="H6" i="24" s="1"/>
  <c r="B25" i="2"/>
  <c r="B47" i="2" s="1"/>
  <c r="G114" i="2"/>
  <c r="F148" i="2"/>
  <c r="F92" i="24" s="1"/>
  <c r="H92" i="24" s="1"/>
  <c r="F140" i="2"/>
  <c r="F64" i="24" s="1"/>
  <c r="H64" i="24" s="1"/>
  <c r="F141" i="2"/>
  <c r="F65" i="24" s="1"/>
  <c r="H65" i="24" s="1"/>
  <c r="F155" i="2"/>
  <c r="F119" i="24" s="1"/>
  <c r="H119" i="24" s="1"/>
  <c r="F25" i="2"/>
  <c r="F47" i="2" s="1"/>
  <c r="G124" i="2"/>
  <c r="G8" i="24" s="1"/>
  <c r="G149" i="24" s="1"/>
  <c r="F128" i="2"/>
  <c r="F32" i="24" s="1"/>
  <c r="H32" i="24" s="1"/>
  <c r="G147" i="2"/>
  <c r="G91" i="24" s="1"/>
  <c r="H91" i="24" s="1"/>
  <c r="G149" i="2"/>
  <c r="G93" i="24" s="1"/>
  <c r="H93" i="24" s="1"/>
  <c r="D25" i="2"/>
  <c r="D47" i="2" s="1"/>
  <c r="G21" i="2"/>
  <c r="G136" i="2"/>
  <c r="G60" i="24" s="1"/>
  <c r="H60" i="24" s="1"/>
  <c r="F157" i="2"/>
  <c r="F121" i="24" s="1"/>
  <c r="H121" i="24" s="1"/>
  <c r="F130" i="2"/>
  <c r="F34" i="24" s="1"/>
  <c r="H34" i="24" s="1"/>
  <c r="G123" i="2"/>
  <c r="G7" i="24" s="1"/>
  <c r="H7" i="24" s="1"/>
  <c r="G152" i="2"/>
  <c r="G116" i="24" s="1"/>
  <c r="F138" i="2"/>
  <c r="F62" i="24" s="1"/>
  <c r="H62" i="24" s="1"/>
  <c r="G22" i="2"/>
  <c r="F137" i="2"/>
  <c r="F61" i="24" s="1"/>
  <c r="H61" i="24" s="1"/>
  <c r="E25" i="2"/>
  <c r="E47" i="2" s="1"/>
  <c r="F153" i="2"/>
  <c r="F117" i="24" s="1"/>
  <c r="F139" i="2"/>
  <c r="F63" i="24" s="1"/>
  <c r="C25" i="2"/>
  <c r="C47" i="2" s="1"/>
  <c r="G139" i="2"/>
  <c r="G63" i="24" s="1"/>
  <c r="G145" i="2"/>
  <c r="G89" i="24" s="1"/>
  <c r="F131" i="2"/>
  <c r="F35" i="24" s="1"/>
  <c r="H35" i="24" s="1"/>
  <c r="G23" i="2"/>
  <c r="G133" i="2"/>
  <c r="G37" i="24" s="1"/>
  <c r="H37" i="24" s="1"/>
  <c r="C173" i="24"/>
  <c r="F145" i="2"/>
  <c r="F89" i="24" s="1"/>
  <c r="G153" i="2"/>
  <c r="G117" i="24" s="1"/>
  <c r="F152" i="2"/>
  <c r="F116" i="24" s="1"/>
  <c r="G20" i="2"/>
  <c r="G19" i="2"/>
  <c r="G120" i="2"/>
  <c r="G4" i="24" s="1"/>
  <c r="F120" i="2"/>
  <c r="F4" i="24" s="1"/>
  <c r="G129" i="2"/>
  <c r="G33" i="24" s="1"/>
  <c r="H33" i="24" s="1"/>
  <c r="G24" i="2"/>
  <c r="G125" i="2"/>
  <c r="G9" i="24" s="1"/>
  <c r="F125" i="2"/>
  <c r="F9" i="24" s="1"/>
  <c r="F121" i="2"/>
  <c r="F5" i="24" s="1"/>
  <c r="D2" i="23" l="1"/>
  <c r="O12" i="22"/>
  <c r="N12" i="22"/>
  <c r="G161" i="2"/>
  <c r="G173" i="24" s="1"/>
  <c r="D64" i="2"/>
  <c r="F50" i="7"/>
  <c r="F18" i="7"/>
  <c r="G18" i="7" s="1"/>
  <c r="G96" i="2"/>
  <c r="C64" i="2"/>
  <c r="B64" i="2"/>
  <c r="F64" i="2"/>
  <c r="G63" i="2"/>
  <c r="G62" i="2"/>
  <c r="E64" i="2"/>
  <c r="H90" i="24"/>
  <c r="H147" i="24" s="1"/>
  <c r="F50" i="2"/>
  <c r="H8" i="24"/>
  <c r="H149" i="24" s="1"/>
  <c r="D50" i="2"/>
  <c r="F149" i="24"/>
  <c r="H116" i="24"/>
  <c r="H63" i="24"/>
  <c r="H148" i="24" s="1"/>
  <c r="G145" i="24"/>
  <c r="F147" i="24"/>
  <c r="G148" i="24"/>
  <c r="G25" i="2"/>
  <c r="E50" i="2"/>
  <c r="B50" i="2"/>
  <c r="G47" i="2"/>
  <c r="G146" i="24"/>
  <c r="H117" i="24"/>
  <c r="C50" i="2"/>
  <c r="H89" i="24"/>
  <c r="H9" i="24"/>
  <c r="H150" i="24" s="1"/>
  <c r="F150" i="24"/>
  <c r="G49" i="2"/>
  <c r="F146" i="24"/>
  <c r="H5" i="24"/>
  <c r="G150" i="24"/>
  <c r="F145" i="24"/>
  <c r="H4" i="24"/>
  <c r="F148" i="24"/>
  <c r="D3" i="23" l="1"/>
  <c r="D8" i="2"/>
  <c r="P12" i="22" s="1"/>
  <c r="F12" i="22"/>
  <c r="G50" i="7"/>
  <c r="G64" i="2"/>
  <c r="C98" i="2"/>
  <c r="E98" i="2"/>
  <c r="D98" i="2"/>
  <c r="F98" i="2"/>
  <c r="H145" i="24"/>
  <c r="G50" i="2"/>
  <c r="B98" i="2"/>
  <c r="H146" i="24"/>
  <c r="D9" i="2" l="1"/>
  <c r="E2" i="23"/>
  <c r="Q12" i="22"/>
  <c r="G12" i="22" s="1"/>
  <c r="D99" i="2"/>
  <c r="F99" i="2"/>
  <c r="E99" i="2"/>
  <c r="C99" i="2"/>
  <c r="C100" i="2" s="1"/>
  <c r="C101" i="2" s="1"/>
  <c r="B99" i="2"/>
  <c r="B100" i="2" s="1"/>
  <c r="F105" i="2"/>
  <c r="E105" i="2"/>
  <c r="D105" i="2"/>
  <c r="C105" i="2"/>
  <c r="B105" i="2"/>
  <c r="G98" i="2"/>
  <c r="D100" i="2" l="1"/>
  <c r="D101" i="2" s="1"/>
  <c r="E8" i="2"/>
  <c r="E3" i="23"/>
  <c r="G105" i="2"/>
  <c r="G99" i="2"/>
  <c r="E9" i="2" l="1"/>
  <c r="F2" i="23"/>
  <c r="S12" i="22"/>
  <c r="R12" i="22"/>
  <c r="B101" i="2"/>
  <c r="H12" i="22" l="1"/>
  <c r="E100" i="2" s="1"/>
  <c r="E101" i="2" s="1"/>
  <c r="F8" i="2"/>
  <c r="F3" i="23"/>
  <c r="F9" i="2" s="1"/>
  <c r="U12" i="22" l="1"/>
  <c r="T12" i="22"/>
  <c r="I12" i="22" l="1"/>
  <c r="F100" i="2" l="1"/>
  <c r="A100" i="2"/>
  <c r="F101" i="2" l="1"/>
  <c r="G101" i="2" s="1"/>
  <c r="G100" i="2"/>
  <c r="B2" i="25" l="1"/>
  <c r="G102" i="2"/>
  <c r="G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104" authorId="0" shapeId="0" xr:uid="{00000000-0006-0000-0500-000002000000}">
      <text>
        <r>
          <rPr>
            <b/>
            <sz val="9"/>
            <color indexed="81"/>
            <rFont val="Tahoma"/>
            <family val="2"/>
          </rPr>
          <t>Terry Koo:</t>
        </r>
        <r>
          <rPr>
            <sz val="9"/>
            <color indexed="81"/>
            <rFont val="Tahoma"/>
            <family val="2"/>
          </rPr>
          <t xml:space="preserve">
Click on the positive sign on the left to show rows 102 and 103 if this is an Assigned Project Agreement. </t>
        </r>
      </text>
    </comment>
  </commentList>
</comments>
</file>

<file path=xl/sharedStrings.xml><?xml version="1.0" encoding="utf-8"?>
<sst xmlns="http://schemas.openxmlformats.org/spreadsheetml/2006/main" count="1138" uniqueCount="374">
  <si>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</si>
  <si>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</si>
  <si>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</si>
  <si>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</si>
  <si>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</si>
  <si>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</si>
  <si>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</si>
  <si>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</si>
  <si>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</si>
  <si>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</si>
  <si>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</si>
  <si>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</si>
  <si>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</si>
  <si>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</si>
  <si>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</si>
  <si>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</si>
  <si>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</si>
  <si>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</si>
  <si>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</si>
  <si>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</si>
  <si>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</si>
  <si>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</si>
  <si>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</si>
  <si>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</si>
  <si>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</si>
  <si>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</si>
  <si>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</si>
  <si>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</si>
  <si>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</si>
  <si>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</si>
  <si>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</si>
  <si>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</si>
  <si>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</si>
  <si>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</si>
  <si>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</si>
  <si>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</si>
  <si>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</si>
  <si>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</si>
  <si>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</si>
  <si>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</si>
  <si>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</si>
  <si>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</si>
  <si>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</si>
  <si>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</si>
  <si>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</si>
  <si>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</si>
  <si>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</si>
  <si>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</si>
  <si>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</si>
  <si>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</si>
  <si>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</si>
  <si>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</si>
  <si>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</si>
  <si>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</si>
  <si>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</si>
  <si>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</si>
  <si>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</si>
  <si>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</si>
  <si>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</si>
  <si>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</si>
  <si>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</si>
  <si>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</si>
  <si>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</si>
  <si>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</si>
  <si>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</si>
  <si>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</si>
  <si>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</si>
  <si>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</si>
  <si>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</si>
  <si>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</si>
  <si>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</si>
  <si>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</si>
  <si>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</si>
  <si>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</si>
  <si>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</si>
  <si>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</si>
  <si>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</si>
  <si>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</si>
  <si>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</si>
  <si>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</si>
  <si>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</si>
  <si>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</si>
  <si>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</si>
  <si>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</si>
  <si>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</si>
  <si>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</si>
  <si>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</si>
  <si>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</si>
  <si>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</si>
  <si>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</si>
  <si>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</si>
  <si>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</si>
  <si>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</si>
  <si>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</si>
  <si>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</si>
  <si>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</si>
  <si>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</si>
  <si>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</si>
  <si>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</si>
  <si>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</si>
  <si>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</si>
  <si>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</si>
  <si>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</si>
  <si>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</si>
  <si>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</si>
  <si>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</si>
  <si>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</si>
  <si>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</si>
  <si>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</si>
  <si>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</si>
  <si>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</si>
  <si>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</si>
  <si>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</si>
  <si>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</si>
  <si>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</si>
  <si>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</si>
  <si>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</si>
  <si>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</si>
  <si>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</si>
  <si>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</si>
  <si>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</si>
  <si>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</si>
  <si>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</si>
  <si>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</si>
  <si>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</si>
  <si>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</si>
  <si>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</si>
  <si>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</si>
  <si>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</si>
  <si>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</si>
  <si>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</si>
  <si>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</si>
  <si>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</si>
  <si>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</si>
  <si>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</si>
  <si>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</si>
  <si>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</si>
  <si>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</si>
  <si>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</si>
  <si>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</si>
  <si>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</si>
  <si>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</si>
  <si>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</si>
  <si>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</si>
  <si>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</si>
  <si>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</si>
  <si>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</si>
  <si>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</si>
  <si>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</si>
  <si>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</si>
  <si>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</si>
  <si>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</si>
  <si>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</si>
  <si>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</si>
  <si>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</si>
  <si>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</si>
  <si>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</si>
  <si>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</si>
  <si>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</si>
  <si>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</si>
  <si>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</si>
  <si>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</si>
  <si>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</si>
  <si>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</si>
  <si>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</si>
  <si>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</si>
  <si>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</si>
  <si>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</si>
  <si>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</si>
  <si>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</si>
  <si>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</si>
  <si>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</si>
  <si>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</si>
  <si>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</si>
  <si>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</si>
  <si>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</si>
  <si>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</si>
  <si>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</si>
  <si>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</si>
  <si>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</si>
  <si>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</si>
  <si>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</si>
  <si>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</si>
  <si>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</si>
  <si>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</si>
  <si>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</si>
  <si>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</si>
  <si>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</si>
  <si>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</si>
  <si>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</si>
  <si>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</si>
  <si>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</si>
  <si>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</si>
  <si>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</si>
  <si>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</si>
  <si>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</si>
  <si>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</si>
  <si>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</si>
  <si>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</si>
  <si>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</si>
  <si>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</si>
  <si>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</si>
  <si>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</si>
  <si>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</si>
  <si>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</si>
  <si>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</si>
  <si>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</si>
  <si>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</si>
  <si>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</si>
  <si>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</si>
  <si>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</si>
  <si>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</si>
  <si>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</si>
  <si>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</si>
  <si>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</si>
  <si>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</si>
  <si>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</si>
  <si>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</si>
  <si>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</si>
  <si>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</si>
  <si>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</si>
  <si>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</si>
  <si>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</si>
  <si>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</si>
  <si>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</si>
  <si>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</si>
  <si>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</si>
  <si>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</si>
  <si>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</si>
  <si>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</si>
  <si>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</si>
  <si>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</si>
  <si>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</si>
  <si>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</si>
  <si>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</si>
  <si>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</si>
  <si>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</si>
  <si>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</si>
  <si>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</si>
  <si>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</si>
  <si>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</si>
  <si>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</si>
  <si>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</si>
  <si>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</si>
  <si>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</si>
  <si>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</si>
  <si>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</si>
  <si>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</si>
  <si>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</si>
  <si>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</si>
  <si>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</si>
  <si>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</si>
  <si>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</si>
  <si>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</si>
  <si>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</si>
  <si>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</si>
  <si>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</si>
  <si>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</si>
  <si>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</si>
  <si>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</si>
  <si>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</si>
  <si>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</si>
  <si>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</si>
  <si>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</si>
  <si>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</si>
  <si>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</si>
  <si>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</si>
  <si>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</si>
  <si>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</si>
  <si>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</si>
  <si>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</si>
  <si>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</si>
  <si>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</si>
  <si>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</si>
  <si>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</si>
  <si>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</si>
  <si>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</si>
  <si>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</si>
  <si>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</si>
  <si>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</si>
  <si>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</si>
  <si>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</si>
  <si>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</si>
  <si>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</si>
  <si>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</si>
  <si>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</si>
  <si>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</si>
  <si>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</si>
  <si>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</si>
  <si>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</si>
  <si>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</si>
  <si>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</si>
  <si>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</si>
  <si>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</si>
  <si>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</si>
  <si>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</si>
  <si>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</si>
  <si>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</si>
  <si>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</si>
  <si>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</si>
  <si>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</si>
  <si>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</si>
  <si>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</si>
  <si>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</si>
  <si>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Created by: Terry Koo (tkksrs@rit.edu)</t>
  </si>
  <si>
    <t>NIH Salary Cap (2025)</t>
  </si>
  <si>
    <t>Sponsor Program:</t>
  </si>
  <si>
    <t>Sponsor Name:</t>
  </si>
  <si>
    <t xml:space="preserve">Espinoza, Elida </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</si>
  <si>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</si>
  <si>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</si>
  <si>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</si>
  <si>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</si>
  <si>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</si>
  <si>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</si>
  <si>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</si>
  <si>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</si>
  <si>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</si>
  <si>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</si>
  <si>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</si>
  <si>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</si>
  <si>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</si>
  <si>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</si>
  <si>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</si>
  <si>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</si>
  <si>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</si>
  <si>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</si>
  <si>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</si>
  <si>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</si>
  <si>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</si>
  <si>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</si>
  <si>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</si>
  <si>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</si>
  <si>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</si>
  <si>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</si>
  <si>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</si>
  <si>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</si>
  <si>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</si>
  <si>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</si>
  <si>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</si>
  <si>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</si>
  <si>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</si>
  <si>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</si>
  <si>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</si>
  <si>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</si>
  <si>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</si>
  <si>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</si>
  <si>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Dollars per Credit Hour ($)</t>
  </si>
  <si>
    <t>Percentage of Requested Tutiton Remisison (%)</t>
  </si>
  <si>
    <t xml:space="preserve">The Battery Prototyping Center has been removed as a SPA-approved re-charger center in the RIT laboratory fees instructions. </t>
  </si>
  <si>
    <t>https://www.rit.edu/study/phd</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</si>
  <si>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</si>
  <si>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</si>
  <si>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</si>
  <si>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</si>
  <si>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</si>
  <si>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</si>
  <si>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</si>
  <si>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</si>
  <si>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</si>
  <si>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</si>
  <si>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</si>
  <si>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</si>
  <si>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</si>
  <si>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</si>
  <si>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</si>
  <si>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</si>
  <si>
    <t xml:space="preserve">Different F&amp;A rates will be applied to each budget period based on its start date and the corresponding fiscal year's F&amp;A rate. </t>
  </si>
  <si>
    <t>Start date:</t>
  </si>
  <si>
    <t>End date:</t>
  </si>
  <si>
    <t>Percentage of Effort (%)</t>
  </si>
  <si>
    <t>Dollars per Credit Hour</t>
  </si>
  <si>
    <t>Version 34.0, last update on 9/2/25</t>
  </si>
  <si>
    <t xml:space="preserve">The budget template has been updated to account for the salary increase effective September 1,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</si>
</sst>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4"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s>
  <fills count="32">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s>
  <borders count="122">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medium">
        <color rgb="FF000000"/>
      </left>
      <right/>
      <top style="medium">
        <color indexed="64"/>
      </top>
      <bottom/>
      <diagonal/>
    </border>
    <border>
      <left style="thin">
        <color indexed="64"/>
      </left>
      <right style="thin">
        <color rgb="FF000000"/>
      </right>
      <top style="thin">
        <color indexed="64"/>
      </top>
      <bottom style="thin">
        <color indexed="64"/>
      </bottom>
      <diagonal/>
    </border>
    <border>
      <left style="medium">
        <color indexed="64"/>
      </left>
      <right/>
      <top style="thin">
        <color theme="2" tint="-0.14999847407452621"/>
      </top>
      <bottom style="thin">
        <color rgb="FF000000"/>
      </bottom>
      <diagonal/>
    </border>
    <border>
      <left/>
      <right style="medium">
        <color indexed="64"/>
      </right>
      <top style="thin">
        <color theme="2" tint="-0.14999847407452621"/>
      </top>
      <bottom style="thin">
        <color rgb="FF000000"/>
      </bottom>
      <diagonal/>
    </border>
    <border>
      <left/>
      <right/>
      <top/>
      <bottom style="thin">
        <color theme="2" tint="-0.14999847407452621"/>
      </bottom>
      <diagonal/>
    </border>
    <border>
      <left style="thin">
        <color theme="2" tint="-0.14999847407452621"/>
      </left>
      <right style="thin">
        <color rgb="FF000000"/>
      </right>
      <top style="thin">
        <color theme="2" tint="-0.14999847407452621"/>
      </top>
      <bottom style="thin">
        <color rgb="FF000000"/>
      </bottom>
      <diagonal/>
    </border>
    <border>
      <left style="thin">
        <color theme="2" tint="-0.14999847407452621"/>
      </left>
      <right style="thin">
        <color theme="2" tint="-0.14999847407452621"/>
      </right>
      <top style="thin">
        <color theme="2" tint="-0.14999847407452621"/>
      </top>
      <bottom style="thin">
        <color rgb="FF000000"/>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18">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4" xfId="0" applyFont="1" applyBorder="1" applyAlignment="1">
      <alignment horizontal="left" vertical="center"/>
    </xf>
    <xf numFmtId="0" fontId="6" fillId="0" borderId="0" xfId="0" applyFont="1"/>
    <xf numFmtId="42" fontId="4" fillId="0" borderId="13"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6" xfId="0" applyFont="1" applyBorder="1"/>
    <xf numFmtId="42" fontId="3" fillId="0" borderId="22" xfId="0" applyNumberFormat="1" applyFont="1" applyBorder="1" applyAlignment="1">
      <alignment vertical="center"/>
    </xf>
    <xf numFmtId="42" fontId="3" fillId="0" borderId="23" xfId="0" applyNumberFormat="1" applyFont="1" applyBorder="1" applyAlignment="1">
      <alignment vertical="center"/>
    </xf>
    <xf numFmtId="42" fontId="3" fillId="0" borderId="15" xfId="0" applyNumberFormat="1" applyFont="1" applyBorder="1" applyAlignment="1">
      <alignment vertical="center"/>
    </xf>
    <xf numFmtId="42" fontId="3" fillId="0" borderId="24" xfId="0" applyNumberFormat="1" applyFont="1" applyBorder="1" applyAlignment="1">
      <alignment vertical="center"/>
    </xf>
    <xf numFmtId="42" fontId="3" fillId="0" borderId="25"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6" xfId="0" applyBorder="1"/>
    <xf numFmtId="0" fontId="0" fillId="0" borderId="15" xfId="0" applyBorder="1"/>
    <xf numFmtId="42" fontId="0" fillId="0" borderId="15" xfId="0" applyNumberFormat="1" applyBorder="1" applyProtection="1">
      <protection hidden="1"/>
    </xf>
    <xf numFmtId="0" fontId="5" fillId="0" borderId="15" xfId="0" applyFont="1" applyBorder="1" applyAlignment="1">
      <alignment vertical="center"/>
    </xf>
    <xf numFmtId="42" fontId="4" fillId="0" borderId="15" xfId="0" applyNumberFormat="1" applyFont="1" applyBorder="1" applyAlignment="1">
      <alignment vertical="center"/>
    </xf>
    <xf numFmtId="0" fontId="4" fillId="0" borderId="15" xfId="0" applyFont="1" applyBorder="1" applyAlignment="1">
      <alignment horizontal="left" vertical="center"/>
    </xf>
    <xf numFmtId="0" fontId="16" fillId="0" borderId="31" xfId="0" applyFont="1" applyBorder="1"/>
    <xf numFmtId="0" fontId="17" fillId="0" borderId="15" xfId="0" applyFont="1" applyBorder="1" applyAlignment="1">
      <alignment horizontal="left" wrapText="1"/>
    </xf>
    <xf numFmtId="0" fontId="17" fillId="0" borderId="15" xfId="0" applyFont="1" applyBorder="1" applyAlignment="1">
      <alignment wrapText="1"/>
    </xf>
    <xf numFmtId="0" fontId="17" fillId="0" borderId="31" xfId="0" applyFont="1" applyBorder="1" applyAlignment="1">
      <alignment wrapText="1"/>
    </xf>
    <xf numFmtId="0" fontId="18" fillId="0" borderId="33" xfId="0" applyFont="1" applyBorder="1" applyAlignment="1">
      <alignment horizontal="left" wrapText="1"/>
    </xf>
    <xf numFmtId="42" fontId="4" fillId="0" borderId="23" xfId="0" applyNumberFormat="1" applyFont="1" applyBorder="1" applyAlignment="1">
      <alignment vertical="center"/>
    </xf>
    <xf numFmtId="42" fontId="4" fillId="0" borderId="22" xfId="0" applyNumberFormat="1" applyFont="1" applyBorder="1" applyAlignment="1">
      <alignment vertical="center"/>
    </xf>
    <xf numFmtId="42" fontId="4" fillId="0" borderId="36" xfId="0" applyNumberFormat="1" applyFont="1" applyBorder="1" applyAlignment="1">
      <alignment vertical="center"/>
    </xf>
    <xf numFmtId="0" fontId="7" fillId="0" borderId="15" xfId="0" applyFont="1" applyBorder="1"/>
    <xf numFmtId="0" fontId="8" fillId="0" borderId="15" xfId="0" applyFont="1" applyBorder="1"/>
    <xf numFmtId="0" fontId="19" fillId="0" borderId="15" xfId="0" applyFont="1" applyBorder="1"/>
    <xf numFmtId="0" fontId="4" fillId="0" borderId="35"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5"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0" fontId="3" fillId="0" borderId="39"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5" xfId="0" applyFont="1" applyBorder="1" applyAlignment="1">
      <alignment vertical="center"/>
    </xf>
    <xf numFmtId="42" fontId="17" fillId="0" borderId="11" xfId="0" applyNumberFormat="1" applyFont="1" applyBorder="1" applyAlignment="1">
      <alignment vertical="center"/>
    </xf>
    <xf numFmtId="42" fontId="17" fillId="0" borderId="22" xfId="0" applyNumberFormat="1" applyFont="1" applyBorder="1" applyAlignment="1">
      <alignment vertical="center"/>
    </xf>
    <xf numFmtId="42" fontId="17" fillId="0" borderId="1" xfId="0" applyNumberFormat="1" applyFont="1" applyBorder="1" applyAlignment="1">
      <alignment vertical="center"/>
    </xf>
    <xf numFmtId="42" fontId="4" fillId="0" borderId="24" xfId="0" applyNumberFormat="1" applyFont="1" applyBorder="1" applyAlignment="1">
      <alignment vertical="center"/>
    </xf>
    <xf numFmtId="42" fontId="4" fillId="0" borderId="25" xfId="0" applyNumberFormat="1" applyFont="1" applyBorder="1" applyAlignment="1">
      <alignment vertical="center"/>
    </xf>
    <xf numFmtId="0" fontId="17" fillId="0" borderId="15" xfId="0" applyFont="1" applyBorder="1"/>
    <xf numFmtId="0" fontId="1" fillId="0" borderId="0" xfId="0" applyFont="1"/>
    <xf numFmtId="14" fontId="0" fillId="0" borderId="0" xfId="0" applyNumberFormat="1"/>
    <xf numFmtId="0" fontId="4" fillId="0" borderId="15" xfId="0" applyFont="1" applyBorder="1"/>
    <xf numFmtId="14" fontId="4" fillId="0" borderId="15" xfId="0" applyNumberFormat="1" applyFont="1" applyBorder="1"/>
    <xf numFmtId="0" fontId="28" fillId="0" borderId="0" xfId="0" applyFont="1"/>
    <xf numFmtId="167" fontId="0" fillId="0" borderId="15" xfId="2" applyNumberFormat="1" applyFont="1" applyFill="1" applyBorder="1"/>
    <xf numFmtId="167" fontId="0" fillId="0" borderId="0" xfId="2" applyNumberFormat="1" applyFont="1" applyFill="1"/>
    <xf numFmtId="0" fontId="0" fillId="0" borderId="46" xfId="0" applyBorder="1"/>
    <xf numFmtId="167" fontId="0" fillId="0" borderId="47" xfId="2" applyNumberFormat="1" applyFont="1" applyFill="1" applyBorder="1"/>
    <xf numFmtId="167" fontId="0" fillId="0" borderId="48" xfId="2" applyNumberFormat="1" applyFont="1" applyFill="1" applyBorder="1"/>
    <xf numFmtId="167" fontId="0" fillId="0" borderId="0" xfId="2" applyNumberFormat="1" applyFont="1"/>
    <xf numFmtId="0" fontId="0" fillId="0" borderId="30" xfId="0" applyBorder="1"/>
    <xf numFmtId="0" fontId="12" fillId="0" borderId="0" xfId="0" applyFont="1"/>
    <xf numFmtId="0" fontId="25" fillId="0" borderId="15" xfId="0" applyFont="1" applyBorder="1"/>
    <xf numFmtId="0" fontId="0" fillId="0" borderId="0" xfId="0" applyAlignment="1">
      <alignment vertical="center"/>
    </xf>
    <xf numFmtId="0" fontId="20" fillId="0" borderId="0" xfId="0" applyFont="1"/>
    <xf numFmtId="0" fontId="27" fillId="0" borderId="0" xfId="0" applyFont="1"/>
    <xf numFmtId="0" fontId="20" fillId="0" borderId="15" xfId="0" applyFont="1" applyBorder="1" applyAlignment="1">
      <alignment vertical="center"/>
    </xf>
    <xf numFmtId="0" fontId="5" fillId="0" borderId="10" xfId="0" applyFont="1" applyBorder="1"/>
    <xf numFmtId="0" fontId="5" fillId="0" borderId="18" xfId="2" applyNumberFormat="1" applyFont="1" applyFill="1" applyBorder="1"/>
    <xf numFmtId="167" fontId="0" fillId="0" borderId="44" xfId="2" applyNumberFormat="1" applyFont="1" applyFill="1" applyBorder="1"/>
    <xf numFmtId="167" fontId="0" fillId="0" borderId="45" xfId="2" applyNumberFormat="1" applyFont="1" applyFill="1" applyBorder="1"/>
    <xf numFmtId="167" fontId="0" fillId="0" borderId="31" xfId="2" applyNumberFormat="1" applyFont="1" applyFill="1" applyBorder="1"/>
    <xf numFmtId="0" fontId="4" fillId="0" borderId="58" xfId="0" applyFont="1" applyBorder="1"/>
    <xf numFmtId="14" fontId="4" fillId="0" borderId="26" xfId="0" applyNumberFormat="1" applyFont="1" applyBorder="1"/>
    <xf numFmtId="0" fontId="4" fillId="0" borderId="82" xfId="0" applyFont="1" applyBorder="1"/>
    <xf numFmtId="14" fontId="4" fillId="0" borderId="78" xfId="0" applyNumberFormat="1" applyFont="1" applyBorder="1"/>
    <xf numFmtId="0" fontId="0" fillId="0" borderId="75" xfId="0" applyBorder="1"/>
    <xf numFmtId="0" fontId="3" fillId="0" borderId="76" xfId="0" applyFont="1" applyBorder="1" applyAlignment="1">
      <alignment horizontal="center"/>
    </xf>
    <xf numFmtId="0" fontId="3" fillId="0" borderId="77" xfId="0" applyFont="1" applyBorder="1" applyAlignment="1">
      <alignment horizontal="center"/>
    </xf>
    <xf numFmtId="14" fontId="4" fillId="0" borderId="53" xfId="0" applyNumberFormat="1" applyFont="1" applyBorder="1"/>
    <xf numFmtId="0" fontId="0" fillId="0" borderId="79" xfId="0" applyBorder="1"/>
    <xf numFmtId="167" fontId="27" fillId="0" borderId="42" xfId="2" applyNumberFormat="1" applyFont="1" applyBorder="1" applyAlignment="1">
      <alignment horizontal="center" vertical="center"/>
    </xf>
    <xf numFmtId="0" fontId="12" fillId="0" borderId="43" xfId="0" applyFont="1" applyBorder="1"/>
    <xf numFmtId="0" fontId="12" fillId="0" borderId="30" xfId="0" applyFont="1" applyBorder="1"/>
    <xf numFmtId="166" fontId="0" fillId="0" borderId="0" xfId="3" applyNumberFormat="1" applyFont="1"/>
    <xf numFmtId="0" fontId="26" fillId="0" borderId="81" xfId="0" applyFont="1" applyBorder="1" applyAlignment="1">
      <alignment horizontal="left"/>
    </xf>
    <xf numFmtId="0" fontId="13" fillId="0" borderId="79" xfId="0" applyFont="1" applyBorder="1"/>
    <xf numFmtId="14" fontId="27" fillId="0" borderId="15" xfId="0" applyNumberFormat="1" applyFont="1" applyBorder="1" applyAlignment="1">
      <alignment horizontal="left" vertical="center"/>
    </xf>
    <xf numFmtId="0" fontId="0" fillId="0" borderId="44" xfId="0" applyBorder="1"/>
    <xf numFmtId="42" fontId="4" fillId="0" borderId="88" xfId="0" applyNumberFormat="1" applyFont="1" applyBorder="1" applyAlignment="1">
      <alignment vertical="center"/>
    </xf>
    <xf numFmtId="42" fontId="4" fillId="0" borderId="89" xfId="0" applyNumberFormat="1"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4" fillId="0" borderId="92" xfId="0" applyFont="1" applyBorder="1" applyAlignment="1">
      <alignment vertical="center"/>
    </xf>
    <xf numFmtId="42" fontId="4" fillId="0" borderId="93" xfId="0" applyNumberFormat="1" applyFont="1" applyBorder="1" applyAlignment="1">
      <alignment vertical="center"/>
    </xf>
    <xf numFmtId="42" fontId="3" fillId="0" borderId="94" xfId="0" applyNumberFormat="1" applyFont="1" applyBorder="1" applyAlignment="1">
      <alignment vertical="center"/>
    </xf>
    <xf numFmtId="42" fontId="3" fillId="0" borderId="92" xfId="0" applyNumberFormat="1" applyFont="1" applyBorder="1" applyAlignment="1">
      <alignment vertical="center"/>
    </xf>
    <xf numFmtId="42" fontId="3" fillId="0" borderId="93" xfId="0" applyNumberFormat="1" applyFont="1" applyBorder="1" applyAlignment="1">
      <alignment vertical="center"/>
    </xf>
    <xf numFmtId="42" fontId="3" fillId="0" borderId="95" xfId="0" applyNumberFormat="1" applyFont="1" applyBorder="1" applyAlignment="1">
      <alignment vertical="center"/>
    </xf>
    <xf numFmtId="42" fontId="0" fillId="0" borderId="96" xfId="0" applyNumberFormat="1" applyBorder="1" applyProtection="1">
      <protection hidden="1"/>
    </xf>
    <xf numFmtId="42" fontId="4" fillId="0" borderId="94" xfId="0" applyNumberFormat="1" applyFont="1" applyBorder="1" applyAlignment="1">
      <alignment vertical="center"/>
    </xf>
    <xf numFmtId="42" fontId="4" fillId="0" borderId="98" xfId="0" applyNumberFormat="1" applyFont="1" applyBorder="1" applyAlignment="1">
      <alignment vertical="center"/>
    </xf>
    <xf numFmtId="42" fontId="3" fillId="0" borderId="99" xfId="0" applyNumberFormat="1" applyFont="1" applyBorder="1" applyAlignment="1">
      <alignment vertical="center"/>
    </xf>
    <xf numFmtId="0" fontId="26" fillId="0" borderId="44" xfId="0" applyFont="1" applyBorder="1" applyAlignment="1">
      <alignment horizontal="center" vertical="center"/>
    </xf>
    <xf numFmtId="0" fontId="26" fillId="0" borderId="42" xfId="0" applyFont="1" applyBorder="1" applyAlignment="1">
      <alignment horizontal="center" vertical="center"/>
    </xf>
    <xf numFmtId="10" fontId="27" fillId="0" borderId="42" xfId="0" applyNumberFormat="1" applyFont="1" applyBorder="1" applyAlignment="1">
      <alignment horizontal="center" vertical="center"/>
    </xf>
    <xf numFmtId="10" fontId="27" fillId="0" borderId="86" xfId="0" applyNumberFormat="1" applyFont="1" applyBorder="1" applyAlignment="1">
      <alignment horizontal="center" vertical="center"/>
    </xf>
    <xf numFmtId="14" fontId="12" fillId="0" borderId="15" xfId="0" applyNumberFormat="1" applyFont="1" applyBorder="1"/>
    <xf numFmtId="0" fontId="12" fillId="0" borderId="15" xfId="0" applyFont="1" applyBorder="1" applyAlignment="1">
      <alignment vertical="center"/>
    </xf>
    <xf numFmtId="0" fontId="12" fillId="0" borderId="0" xfId="0" applyFont="1" applyAlignment="1">
      <alignment vertical="center"/>
    </xf>
    <xf numFmtId="0" fontId="3" fillId="0" borderId="22" xfId="0" applyFont="1" applyBorder="1" applyAlignment="1">
      <alignment vertical="center"/>
    </xf>
    <xf numFmtId="0" fontId="4" fillId="0" borderId="28" xfId="0" applyFont="1" applyBorder="1" applyAlignment="1">
      <alignment vertical="center"/>
    </xf>
    <xf numFmtId="0" fontId="4" fillId="0" borderId="74" xfId="0" applyFont="1" applyBorder="1" applyAlignment="1">
      <alignment vertical="center"/>
    </xf>
    <xf numFmtId="42" fontId="4" fillId="0" borderId="26" xfId="0" applyNumberFormat="1" applyFont="1" applyBorder="1" applyAlignment="1">
      <alignment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05" xfId="0" applyFont="1" applyBorder="1" applyAlignment="1">
      <alignment horizontal="center" vertical="center"/>
    </xf>
    <xf numFmtId="0" fontId="5" fillId="0" borderId="29" xfId="0" applyFont="1" applyBorder="1" applyAlignment="1">
      <alignment vertical="center"/>
    </xf>
    <xf numFmtId="0" fontId="24" fillId="0" borderId="26" xfId="0" applyFont="1" applyBorder="1" applyAlignment="1">
      <alignment vertical="center"/>
    </xf>
    <xf numFmtId="0" fontId="4" fillId="0" borderId="26" xfId="0" applyFont="1" applyBorder="1" applyAlignment="1">
      <alignment vertical="center"/>
    </xf>
    <xf numFmtId="42" fontId="3" fillId="0" borderId="26" xfId="0" applyNumberFormat="1" applyFont="1" applyBorder="1" applyAlignment="1">
      <alignment vertical="center"/>
    </xf>
    <xf numFmtId="167" fontId="0" fillId="0" borderId="30" xfId="2" applyNumberFormat="1" applyFont="1" applyFill="1" applyBorder="1"/>
    <xf numFmtId="0" fontId="4" fillId="0" borderId="27" xfId="0" applyFont="1" applyBorder="1" applyAlignment="1">
      <alignment vertical="center"/>
    </xf>
    <xf numFmtId="0" fontId="4" fillId="0" borderId="29" xfId="0" applyFont="1" applyBorder="1"/>
    <xf numFmtId="0" fontId="4" fillId="0" borderId="15"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left"/>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vertical="center"/>
    </xf>
    <xf numFmtId="0" fontId="4" fillId="0" borderId="73" xfId="0" applyFont="1" applyBorder="1" applyAlignment="1">
      <alignment horizontal="left"/>
    </xf>
    <xf numFmtId="0" fontId="4" fillId="0" borderId="0" xfId="0" applyFont="1"/>
    <xf numFmtId="165" fontId="4" fillId="0" borderId="15" xfId="0" applyNumberFormat="1" applyFont="1" applyBorder="1" applyAlignment="1">
      <alignment horizontal="center" vertical="center"/>
    </xf>
    <xf numFmtId="165" fontId="4" fillId="0" borderId="28" xfId="0" applyNumberFormat="1" applyFont="1" applyBorder="1" applyAlignment="1">
      <alignment horizontal="center" vertical="center"/>
    </xf>
    <xf numFmtId="166" fontId="4" fillId="0" borderId="28" xfId="0" applyNumberFormat="1" applyFont="1" applyBorder="1" applyAlignment="1">
      <alignment horizontal="center" vertical="center"/>
    </xf>
    <xf numFmtId="164" fontId="4" fillId="0" borderId="28" xfId="0" applyNumberFormat="1" applyFont="1" applyBorder="1" applyAlignment="1">
      <alignment horizontal="center" vertical="center"/>
    </xf>
    <xf numFmtId="0" fontId="4" fillId="0" borderId="22" xfId="0" applyFont="1" applyBorder="1" applyAlignment="1">
      <alignment horizontal="center"/>
    </xf>
    <xf numFmtId="165" fontId="4" fillId="0" borderId="22" xfId="0" applyNumberFormat="1" applyFont="1" applyBorder="1" applyAlignment="1">
      <alignment horizontal="center" vertical="center"/>
    </xf>
    <xf numFmtId="164" fontId="4" fillId="0" borderId="74"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1"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5" xfId="0" applyFont="1" applyBorder="1"/>
    <xf numFmtId="0" fontId="4" fillId="0" borderId="0" xfId="4" applyNumberFormat="1" applyFont="1"/>
    <xf numFmtId="0" fontId="3" fillId="0" borderId="17" xfId="0" applyFont="1" applyBorder="1"/>
    <xf numFmtId="0" fontId="4" fillId="0" borderId="15" xfId="0" applyFont="1" applyBorder="1" applyAlignment="1">
      <alignment horizontal="right"/>
    </xf>
    <xf numFmtId="14" fontId="4" fillId="0" borderId="0" xfId="0" applyNumberFormat="1" applyFont="1"/>
    <xf numFmtId="169" fontId="4" fillId="0" borderId="15" xfId="0" applyNumberFormat="1" applyFont="1" applyBorder="1" applyAlignment="1">
      <alignment horizontal="center"/>
    </xf>
    <xf numFmtId="0" fontId="3" fillId="0" borderId="15"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6" xfId="0" applyFont="1" applyBorder="1"/>
    <xf numFmtId="0" fontId="3" fillId="0" borderId="0" xfId="0" applyFont="1" applyAlignment="1">
      <alignment horizontal="left"/>
    </xf>
    <xf numFmtId="0" fontId="4" fillId="0" borderId="83" xfId="0" applyFont="1" applyBorder="1"/>
    <xf numFmtId="0" fontId="4" fillId="0" borderId="85" xfId="0" applyFont="1" applyBorder="1"/>
    <xf numFmtId="0" fontId="3" fillId="0" borderId="42" xfId="0" applyFont="1" applyBorder="1"/>
    <xf numFmtId="0" fontId="3" fillId="0" borderId="42" xfId="0" applyFont="1" applyBorder="1" applyAlignment="1">
      <alignment horizontal="center" wrapText="1"/>
    </xf>
    <xf numFmtId="0" fontId="3" fillId="0" borderId="42"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19"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5" xfId="0" applyFont="1" applyBorder="1"/>
    <xf numFmtId="0" fontId="3" fillId="14" borderId="26" xfId="0" applyFont="1" applyFill="1" applyBorder="1" applyAlignment="1">
      <alignment horizontal="right"/>
    </xf>
    <xf numFmtId="0" fontId="3" fillId="0" borderId="15" xfId="0" applyFont="1" applyBorder="1" applyAlignment="1">
      <alignment horizontal="right"/>
    </xf>
    <xf numFmtId="168" fontId="3" fillId="0" borderId="15" xfId="0" applyNumberFormat="1" applyFont="1" applyBorder="1"/>
    <xf numFmtId="0" fontId="3" fillId="0" borderId="19" xfId="0" applyFont="1" applyBorder="1" applyAlignment="1">
      <alignment horizontal="right"/>
    </xf>
    <xf numFmtId="168" fontId="3" fillId="0" borderId="19" xfId="0" applyNumberFormat="1" applyFont="1" applyBorder="1"/>
    <xf numFmtId="0" fontId="4" fillId="0" borderId="40" xfId="0" applyFont="1" applyBorder="1" applyAlignment="1">
      <alignment horizontal="right"/>
    </xf>
    <xf numFmtId="168" fontId="4" fillId="0" borderId="40" xfId="0" applyNumberFormat="1" applyFont="1" applyBorder="1"/>
    <xf numFmtId="0" fontId="3" fillId="0" borderId="21" xfId="0" applyFont="1" applyBorder="1" applyAlignment="1">
      <alignment horizontal="left"/>
    </xf>
    <xf numFmtId="168" fontId="4" fillId="0" borderId="21" xfId="0" applyNumberFormat="1" applyFont="1" applyBorder="1"/>
    <xf numFmtId="168" fontId="3" fillId="0" borderId="40" xfId="0" applyNumberFormat="1" applyFont="1" applyBorder="1"/>
    <xf numFmtId="0" fontId="34" fillId="0" borderId="0" xfId="0" applyFont="1"/>
    <xf numFmtId="168" fontId="4" fillId="0" borderId="15"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4" xfId="0" applyFont="1" applyBorder="1" applyAlignment="1">
      <alignment horizontal="right"/>
    </xf>
    <xf numFmtId="168" fontId="3" fillId="0" borderId="7" xfId="0" applyNumberFormat="1" applyFont="1" applyBorder="1"/>
    <xf numFmtId="0" fontId="3" fillId="0" borderId="103" xfId="0" applyFont="1" applyBorder="1"/>
    <xf numFmtId="168" fontId="4" fillId="0" borderId="4" xfId="0" applyNumberFormat="1" applyFont="1" applyBorder="1"/>
    <xf numFmtId="0" fontId="4" fillId="0" borderId="104" xfId="0" applyFont="1" applyBorder="1"/>
    <xf numFmtId="168" fontId="4" fillId="0" borderId="7" xfId="0" applyNumberFormat="1" applyFont="1" applyBorder="1"/>
    <xf numFmtId="0" fontId="3" fillId="0" borderId="73" xfId="0" applyFont="1" applyBorder="1"/>
    <xf numFmtId="0" fontId="4" fillId="0" borderId="11" xfId="0" applyFont="1" applyBorder="1"/>
    <xf numFmtId="10" fontId="4" fillId="0" borderId="15" xfId="2" applyNumberFormat="1" applyFont="1" applyFill="1" applyBorder="1"/>
    <xf numFmtId="10" fontId="4" fillId="0" borderId="31" xfId="2" applyNumberFormat="1" applyFont="1" applyFill="1" applyBorder="1"/>
    <xf numFmtId="0" fontId="4" fillId="0" borderId="30" xfId="0" applyFont="1" applyBorder="1"/>
    <xf numFmtId="0" fontId="3" fillId="0" borderId="43" xfId="0" applyFont="1" applyBorder="1" applyAlignment="1">
      <alignment horizontal="right"/>
    </xf>
    <xf numFmtId="0" fontId="4" fillId="0" borderId="44" xfId="0" applyFont="1" applyBorder="1"/>
    <xf numFmtId="0" fontId="4" fillId="0" borderId="45" xfId="0" applyFont="1" applyBorder="1"/>
    <xf numFmtId="0" fontId="3" fillId="0" borderId="30" xfId="0" applyFont="1" applyBorder="1" applyAlignment="1">
      <alignment horizontal="right"/>
    </xf>
    <xf numFmtId="0" fontId="4" fillId="0" borderId="31" xfId="0" applyFont="1" applyBorder="1"/>
    <xf numFmtId="0" fontId="3" fillId="0" borderId="46" xfId="0" applyFont="1" applyBorder="1" applyAlignment="1">
      <alignment horizontal="right"/>
    </xf>
    <xf numFmtId="0" fontId="4" fillId="0" borderId="47" xfId="0" applyFont="1" applyBorder="1"/>
    <xf numFmtId="0" fontId="3" fillId="0" borderId="75" xfId="0" applyFont="1" applyBorder="1"/>
    <xf numFmtId="0" fontId="4" fillId="0" borderId="76" xfId="0" applyFont="1" applyBorder="1"/>
    <xf numFmtId="0" fontId="3" fillId="0" borderId="55" xfId="0" applyFont="1" applyBorder="1"/>
    <xf numFmtId="0" fontId="4" fillId="0" borderId="56" xfId="0" applyFont="1" applyBorder="1"/>
    <xf numFmtId="0" fontId="3" fillId="0" borderId="26" xfId="0" applyFont="1" applyBorder="1" applyAlignment="1">
      <alignment horizontal="center" wrapText="1"/>
    </xf>
    <xf numFmtId="0" fontId="3" fillId="0" borderId="26" xfId="0" applyFont="1" applyBorder="1" applyAlignment="1">
      <alignment horizontal="center"/>
    </xf>
    <xf numFmtId="0" fontId="3" fillId="0" borderId="59" xfId="0" applyFont="1" applyBorder="1" applyAlignment="1">
      <alignment horizontal="center"/>
    </xf>
    <xf numFmtId="0" fontId="3" fillId="0" borderId="15" xfId="0" applyFont="1" applyBorder="1" applyAlignment="1">
      <alignment horizontal="center"/>
    </xf>
    <xf numFmtId="0" fontId="3" fillId="0" borderId="58" xfId="0" applyFont="1" applyBorder="1"/>
    <xf numFmtId="166" fontId="4" fillId="0" borderId="26" xfId="3" applyNumberFormat="1" applyFont="1" applyFill="1" applyBorder="1" applyAlignment="1">
      <alignment horizontal="center"/>
    </xf>
    <xf numFmtId="168" fontId="4" fillId="0" borderId="26" xfId="0" applyNumberFormat="1" applyFont="1" applyBorder="1" applyAlignment="1">
      <alignment horizontal="center"/>
    </xf>
    <xf numFmtId="168" fontId="4" fillId="0" borderId="59" xfId="0" applyNumberFormat="1" applyFont="1" applyBorder="1" applyAlignment="1">
      <alignment horizontal="center"/>
    </xf>
    <xf numFmtId="166" fontId="4" fillId="0" borderId="15" xfId="3" applyNumberFormat="1" applyFont="1" applyFill="1" applyBorder="1" applyAlignment="1">
      <alignment horizontal="center"/>
    </xf>
    <xf numFmtId="168" fontId="4" fillId="0" borderId="15" xfId="0" applyNumberFormat="1" applyFont="1" applyBorder="1" applyAlignment="1">
      <alignment horizontal="center"/>
    </xf>
    <xf numFmtId="166" fontId="4" fillId="0" borderId="61" xfId="3" applyNumberFormat="1" applyFont="1" applyFill="1" applyBorder="1" applyAlignment="1">
      <alignment horizontal="center"/>
    </xf>
    <xf numFmtId="0" fontId="3" fillId="0" borderId="63" xfId="0" applyFont="1" applyBorder="1"/>
    <xf numFmtId="0" fontId="4" fillId="0" borderId="64" xfId="0" applyFont="1" applyBorder="1"/>
    <xf numFmtId="0" fontId="4" fillId="0" borderId="64" xfId="0" applyFont="1" applyBorder="1" applyAlignment="1">
      <alignment horizontal="center"/>
    </xf>
    <xf numFmtId="168" fontId="4" fillId="0" borderId="64" xfId="0" applyNumberFormat="1" applyFont="1" applyBorder="1" applyAlignment="1">
      <alignment horizontal="center"/>
    </xf>
    <xf numFmtId="168" fontId="4" fillId="0" borderId="65" xfId="0" applyNumberFormat="1" applyFont="1" applyBorder="1" applyAlignment="1">
      <alignment horizontal="center"/>
    </xf>
    <xf numFmtId="0" fontId="4" fillId="16" borderId="0" xfId="0" applyFont="1" applyFill="1"/>
    <xf numFmtId="0" fontId="4" fillId="16" borderId="31" xfId="0" applyFont="1" applyFill="1" applyBorder="1"/>
    <xf numFmtId="0" fontId="3" fillId="0" borderId="26" xfId="0" applyFont="1" applyBorder="1" applyAlignment="1">
      <alignment horizontal="center" vertical="center" wrapText="1"/>
    </xf>
    <xf numFmtId="168" fontId="4" fillId="0" borderId="53" xfId="0" applyNumberFormat="1" applyFont="1" applyBorder="1" applyAlignment="1">
      <alignment horizontal="center"/>
    </xf>
    <xf numFmtId="0" fontId="4" fillId="16" borderId="45" xfId="0" applyFont="1" applyFill="1" applyBorder="1"/>
    <xf numFmtId="0" fontId="4" fillId="16" borderId="48" xfId="0" applyFont="1" applyFill="1" applyBorder="1"/>
    <xf numFmtId="0" fontId="3" fillId="16" borderId="15" xfId="0" applyFont="1" applyFill="1" applyBorder="1"/>
    <xf numFmtId="0" fontId="4" fillId="16" borderId="15" xfId="0" applyFont="1" applyFill="1" applyBorder="1"/>
    <xf numFmtId="0" fontId="4" fillId="16" borderId="15" xfId="0" applyFont="1" applyFill="1" applyBorder="1" applyAlignment="1">
      <alignment horizontal="center"/>
    </xf>
    <xf numFmtId="168" fontId="4" fillId="16" borderId="15" xfId="0" applyNumberFormat="1" applyFont="1" applyFill="1" applyBorder="1" applyAlignment="1">
      <alignment horizontal="center"/>
    </xf>
    <xf numFmtId="168" fontId="4" fillId="16" borderId="48" xfId="0" applyNumberFormat="1" applyFont="1" applyFill="1" applyBorder="1" applyAlignment="1">
      <alignment horizontal="center"/>
    </xf>
    <xf numFmtId="0" fontId="3" fillId="0" borderId="78" xfId="0" applyFont="1" applyBorder="1" applyAlignment="1">
      <alignment horizontal="center"/>
    </xf>
    <xf numFmtId="168" fontId="3" fillId="0" borderId="69" xfId="0" applyNumberFormat="1" applyFont="1" applyBorder="1" applyAlignment="1">
      <alignment horizontal="center"/>
    </xf>
    <xf numFmtId="168" fontId="3" fillId="0" borderId="69" xfId="0" applyNumberFormat="1" applyFont="1" applyBorder="1"/>
    <xf numFmtId="168" fontId="3" fillId="0" borderId="100" xfId="0" applyNumberFormat="1" applyFont="1" applyBorder="1" applyAlignment="1">
      <alignment horizontal="center"/>
    </xf>
    <xf numFmtId="168" fontId="3" fillId="0" borderId="101" xfId="0" applyNumberFormat="1" applyFont="1" applyBorder="1" applyAlignment="1">
      <alignment horizontal="center"/>
    </xf>
    <xf numFmtId="168" fontId="3" fillId="0" borderId="15" xfId="0" applyNumberFormat="1" applyFont="1" applyBorder="1" applyAlignment="1">
      <alignment horizontal="center"/>
    </xf>
    <xf numFmtId="168" fontId="3" fillId="0" borderId="44" xfId="0" applyNumberFormat="1" applyFont="1" applyBorder="1"/>
    <xf numFmtId="168" fontId="3" fillId="0" borderId="44" xfId="0" applyNumberFormat="1" applyFont="1" applyBorder="1" applyAlignment="1">
      <alignment horizontal="center"/>
    </xf>
    <xf numFmtId="0" fontId="33" fillId="0" borderId="15" xfId="1" applyFont="1" applyBorder="1" applyAlignment="1"/>
    <xf numFmtId="0" fontId="35" fillId="0" borderId="0" xfId="0" applyFont="1" applyAlignment="1">
      <alignment horizontal="center"/>
    </xf>
    <xf numFmtId="168" fontId="3" fillId="0" borderId="26" xfId="0" applyNumberFormat="1" applyFont="1" applyBorder="1"/>
    <xf numFmtId="0" fontId="36" fillId="0" borderId="0" xfId="0" applyFont="1"/>
    <xf numFmtId="0" fontId="3" fillId="0" borderId="26" xfId="0" applyFont="1" applyBorder="1"/>
    <xf numFmtId="0" fontId="4" fillId="0" borderId="49" xfId="0" applyFont="1" applyBorder="1"/>
    <xf numFmtId="168" fontId="4" fillId="0" borderId="24" xfId="0" applyNumberFormat="1" applyFont="1" applyBorder="1"/>
    <xf numFmtId="0" fontId="4" fillId="0" borderId="50" xfId="0" applyFont="1" applyBorder="1"/>
    <xf numFmtId="168" fontId="4" fillId="0" borderId="51" xfId="0" applyNumberFormat="1" applyFont="1" applyBorder="1"/>
    <xf numFmtId="168" fontId="4" fillId="0" borderId="52" xfId="0" applyNumberFormat="1" applyFont="1" applyBorder="1"/>
    <xf numFmtId="168" fontId="4" fillId="0" borderId="0" xfId="0" applyNumberFormat="1" applyFont="1"/>
    <xf numFmtId="0" fontId="26" fillId="0" borderId="15" xfId="0" applyFont="1" applyBorder="1" applyAlignment="1">
      <alignment horizontal="left" vertical="center"/>
    </xf>
    <xf numFmtId="0" fontId="3" fillId="14" borderId="26" xfId="0" applyFont="1" applyFill="1" applyBorder="1"/>
    <xf numFmtId="0" fontId="3" fillId="26" borderId="19" xfId="0" applyFont="1" applyFill="1" applyBorder="1"/>
    <xf numFmtId="0" fontId="38" fillId="0" borderId="0" xfId="0" applyFont="1" applyAlignment="1">
      <alignment horizontal="left"/>
    </xf>
    <xf numFmtId="0" fontId="4" fillId="0" borderId="84" xfId="0" applyFont="1" applyBorder="1"/>
    <xf numFmtId="0" fontId="3" fillId="0" borderId="47" xfId="0" applyFont="1" applyBorder="1"/>
    <xf numFmtId="168" fontId="3" fillId="0" borderId="15" xfId="0" applyNumberFormat="1" applyFont="1" applyBorder="1" applyAlignment="1">
      <alignment horizontal="center" vertical="center"/>
    </xf>
    <xf numFmtId="166" fontId="4" fillId="0" borderId="69" xfId="3" applyNumberFormat="1" applyFont="1" applyFill="1" applyBorder="1" applyAlignment="1">
      <alignment horizontal="center"/>
    </xf>
    <xf numFmtId="0" fontId="4" fillId="27" borderId="0" xfId="0" applyFont="1" applyFill="1"/>
    <xf numFmtId="14" fontId="27" fillId="4" borderId="42" xfId="0" applyNumberFormat="1" applyFont="1" applyFill="1" applyBorder="1" applyAlignment="1" applyProtection="1">
      <alignment horizontal="left" vertical="center"/>
      <protection locked="0"/>
    </xf>
    <xf numFmtId="0" fontId="27" fillId="4" borderId="42" xfId="0" applyFont="1" applyFill="1" applyBorder="1" applyAlignment="1" applyProtection="1">
      <alignment horizontal="left" vertical="center"/>
      <protection locked="0"/>
    </xf>
    <xf numFmtId="0" fontId="27" fillId="15" borderId="42" xfId="0" applyFont="1" applyFill="1" applyBorder="1" applyAlignment="1" applyProtection="1">
      <alignment vertical="center"/>
      <protection locked="0"/>
    </xf>
    <xf numFmtId="0" fontId="31" fillId="20" borderId="42" xfId="0" applyFont="1" applyFill="1" applyBorder="1" applyAlignment="1" applyProtection="1">
      <alignment horizontal="left" vertical="center"/>
      <protection locked="0"/>
    </xf>
    <xf numFmtId="9" fontId="4" fillId="2" borderId="42" xfId="0" applyNumberFormat="1" applyFont="1" applyFill="1" applyBorder="1" applyAlignment="1" applyProtection="1">
      <alignment horizontal="center"/>
      <protection locked="0"/>
    </xf>
    <xf numFmtId="169" fontId="4" fillId="10" borderId="42"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6" xfId="0" applyFont="1" applyFill="1" applyBorder="1" applyProtection="1">
      <protection locked="0"/>
    </xf>
    <xf numFmtId="0" fontId="4" fillId="2" borderId="41" xfId="0" applyFont="1" applyFill="1" applyBorder="1" applyProtection="1">
      <protection locked="0"/>
    </xf>
    <xf numFmtId="0" fontId="4" fillId="2" borderId="69" xfId="0" applyFont="1" applyFill="1" applyBorder="1" applyProtection="1">
      <protection locked="0"/>
    </xf>
    <xf numFmtId="0" fontId="4" fillId="10" borderId="26" xfId="0" applyFont="1" applyFill="1" applyBorder="1" applyProtection="1">
      <protection locked="0"/>
    </xf>
    <xf numFmtId="0" fontId="4" fillId="2" borderId="56" xfId="0" applyFont="1" applyFill="1" applyBorder="1" applyProtection="1">
      <protection locked="0"/>
    </xf>
    <xf numFmtId="0" fontId="4" fillId="10" borderId="56" xfId="0" applyFont="1" applyFill="1" applyBorder="1" applyProtection="1">
      <protection locked="0"/>
    </xf>
    <xf numFmtId="0" fontId="4" fillId="2" borderId="19" xfId="0" applyFont="1" applyFill="1" applyBorder="1" applyAlignment="1" applyProtection="1">
      <alignment horizontal="left" vertical="center"/>
      <protection locked="0"/>
    </xf>
    <xf numFmtId="42" fontId="4" fillId="2" borderId="19" xfId="0" applyNumberFormat="1" applyFont="1" applyFill="1" applyBorder="1" applyAlignment="1" applyProtection="1">
      <alignment vertical="center"/>
      <protection locked="0"/>
    </xf>
    <xf numFmtId="42" fontId="4" fillId="2" borderId="20" xfId="0" applyNumberFormat="1" applyFont="1" applyFill="1" applyBorder="1" applyAlignment="1" applyProtection="1">
      <alignment vertical="center"/>
      <protection locked="0"/>
    </xf>
    <xf numFmtId="0" fontId="6" fillId="14" borderId="102" xfId="0" applyFont="1" applyFill="1" applyBorder="1" applyProtection="1">
      <protection locked="0"/>
    </xf>
    <xf numFmtId="168" fontId="4" fillId="14" borderId="19" xfId="0" applyNumberFormat="1" applyFont="1" applyFill="1" applyBorder="1" applyProtection="1">
      <protection locked="0"/>
    </xf>
    <xf numFmtId="0" fontId="4" fillId="9" borderId="19" xfId="0" applyFont="1" applyFill="1" applyBorder="1" applyProtection="1">
      <protection locked="0"/>
    </xf>
    <xf numFmtId="168" fontId="4" fillId="9" borderId="19" xfId="0" applyNumberFormat="1" applyFont="1" applyFill="1" applyBorder="1" applyProtection="1">
      <protection locked="0"/>
    </xf>
    <xf numFmtId="0" fontId="4" fillId="9" borderId="15" xfId="0" applyFont="1" applyFill="1" applyBorder="1" applyProtection="1">
      <protection locked="0"/>
    </xf>
    <xf numFmtId="168" fontId="4" fillId="9" borderId="40" xfId="0" applyNumberFormat="1" applyFont="1" applyFill="1" applyBorder="1" applyProtection="1">
      <protection locked="0"/>
    </xf>
    <xf numFmtId="0" fontId="4" fillId="14" borderId="26" xfId="0" applyFont="1" applyFill="1" applyBorder="1" applyProtection="1">
      <protection locked="0"/>
    </xf>
    <xf numFmtId="168" fontId="4" fillId="14" borderId="26" xfId="0" applyNumberFormat="1" applyFont="1" applyFill="1" applyBorder="1" applyProtection="1">
      <protection locked="0"/>
    </xf>
    <xf numFmtId="0" fontId="4" fillId="9" borderId="21" xfId="0" applyFont="1" applyFill="1" applyBorder="1" applyProtection="1">
      <protection locked="0"/>
    </xf>
    <xf numFmtId="168" fontId="4" fillId="9" borderId="21" xfId="0" applyNumberFormat="1" applyFont="1" applyFill="1" applyBorder="1" applyProtection="1">
      <protection locked="0"/>
    </xf>
    <xf numFmtId="0" fontId="4" fillId="5" borderId="19" xfId="0" applyFont="1" applyFill="1" applyBorder="1" applyProtection="1">
      <protection locked="0"/>
    </xf>
    <xf numFmtId="168" fontId="4" fillId="5" borderId="19" xfId="0" applyNumberFormat="1" applyFont="1" applyFill="1" applyBorder="1" applyProtection="1">
      <protection locked="0"/>
    </xf>
    <xf numFmtId="0" fontId="4" fillId="5" borderId="40" xfId="0" applyFont="1" applyFill="1" applyBorder="1" applyProtection="1">
      <protection locked="0"/>
    </xf>
    <xf numFmtId="168" fontId="4" fillId="5" borderId="40" xfId="0" applyNumberFormat="1" applyFont="1" applyFill="1" applyBorder="1" applyProtection="1">
      <protection locked="0"/>
    </xf>
    <xf numFmtId="0" fontId="4" fillId="11" borderId="19" xfId="0" applyFont="1" applyFill="1" applyBorder="1" applyProtection="1">
      <protection locked="0"/>
    </xf>
    <xf numFmtId="168" fontId="4" fillId="11" borderId="19" xfId="0" applyNumberFormat="1" applyFont="1" applyFill="1" applyBorder="1" applyProtection="1">
      <protection locked="0"/>
    </xf>
    <xf numFmtId="0" fontId="4" fillId="11" borderId="15" xfId="0" applyFont="1" applyFill="1" applyBorder="1" applyProtection="1">
      <protection locked="0"/>
    </xf>
    <xf numFmtId="168" fontId="3" fillId="8" borderId="19" xfId="0" applyNumberFormat="1" applyFont="1" applyFill="1" applyBorder="1" applyProtection="1">
      <protection locked="0"/>
    </xf>
    <xf numFmtId="0" fontId="4" fillId="2" borderId="37" xfId="0" applyFont="1" applyFill="1" applyBorder="1" applyAlignment="1" applyProtection="1">
      <alignment horizontal="left"/>
      <protection locked="0"/>
    </xf>
    <xf numFmtId="168" fontId="4" fillId="2" borderId="19" xfId="0" applyNumberFormat="1" applyFont="1" applyFill="1" applyBorder="1" applyProtection="1">
      <protection locked="0"/>
    </xf>
    <xf numFmtId="0" fontId="4" fillId="2" borderId="38" xfId="0" applyFont="1" applyFill="1" applyBorder="1" applyAlignment="1" applyProtection="1">
      <alignment horizontal="left"/>
      <protection locked="0"/>
    </xf>
    <xf numFmtId="0" fontId="17" fillId="10" borderId="26" xfId="0" applyFont="1" applyFill="1" applyBorder="1" applyAlignment="1" applyProtection="1">
      <alignment vertical="center"/>
      <protection locked="0"/>
    </xf>
    <xf numFmtId="168" fontId="17" fillId="10" borderId="26" xfId="0" applyNumberFormat="1" applyFont="1" applyFill="1" applyBorder="1" applyAlignment="1" applyProtection="1">
      <alignment vertical="center"/>
      <protection locked="0"/>
    </xf>
    <xf numFmtId="0" fontId="4" fillId="2" borderId="15" xfId="0" applyFont="1" applyFill="1" applyBorder="1" applyAlignment="1" applyProtection="1">
      <alignment horizontal="left"/>
      <protection locked="0"/>
    </xf>
    <xf numFmtId="0" fontId="4" fillId="2" borderId="19" xfId="0" applyFont="1" applyFill="1" applyBorder="1" applyProtection="1">
      <protection locked="0"/>
    </xf>
    <xf numFmtId="0" fontId="4" fillId="17" borderId="19" xfId="0" applyFont="1" applyFill="1" applyBorder="1" applyProtection="1">
      <protection locked="0"/>
    </xf>
    <xf numFmtId="168" fontId="4" fillId="17" borderId="19" xfId="0" applyNumberFormat="1" applyFont="1" applyFill="1" applyBorder="1" applyProtection="1">
      <protection locked="0"/>
    </xf>
    <xf numFmtId="0" fontId="4" fillId="7" borderId="15" xfId="0" applyFont="1" applyFill="1" applyBorder="1" applyProtection="1">
      <protection locked="0"/>
    </xf>
    <xf numFmtId="168" fontId="4" fillId="7" borderId="19" xfId="0" applyNumberFormat="1" applyFont="1" applyFill="1" applyBorder="1" applyProtection="1">
      <protection locked="0"/>
    </xf>
    <xf numFmtId="0" fontId="4" fillId="7" borderId="19" xfId="0" applyFont="1" applyFill="1" applyBorder="1" applyProtection="1">
      <protection locked="0"/>
    </xf>
    <xf numFmtId="0" fontId="4" fillId="12" borderId="19" xfId="0" applyFont="1" applyFill="1" applyBorder="1" applyProtection="1">
      <protection locked="0"/>
    </xf>
    <xf numFmtId="168" fontId="4" fillId="12" borderId="19" xfId="0" applyNumberFormat="1" applyFont="1" applyFill="1" applyBorder="1" applyProtection="1">
      <protection locked="0"/>
    </xf>
    <xf numFmtId="0" fontId="4" fillId="21" borderId="19" xfId="0" applyFont="1" applyFill="1" applyBorder="1" applyProtection="1">
      <protection locked="0"/>
    </xf>
    <xf numFmtId="168" fontId="4" fillId="21" borderId="19" xfId="0" applyNumberFormat="1" applyFont="1" applyFill="1" applyBorder="1" applyProtection="1">
      <protection locked="0"/>
    </xf>
    <xf numFmtId="168" fontId="4" fillId="22" borderId="40" xfId="0" applyNumberFormat="1" applyFont="1" applyFill="1" applyBorder="1" applyProtection="1">
      <protection locked="0"/>
    </xf>
    <xf numFmtId="168" fontId="4" fillId="24" borderId="21" xfId="0" applyNumberFormat="1" applyFont="1" applyFill="1" applyBorder="1" applyProtection="1">
      <protection locked="0"/>
    </xf>
    <xf numFmtId="168" fontId="4" fillId="24" borderId="19" xfId="0" applyNumberFormat="1" applyFont="1" applyFill="1" applyBorder="1" applyProtection="1">
      <protection locked="0"/>
    </xf>
    <xf numFmtId="0" fontId="4" fillId="6" borderId="19" xfId="0" applyFont="1" applyFill="1" applyBorder="1" applyProtection="1">
      <protection locked="0"/>
    </xf>
    <xf numFmtId="168" fontId="4" fillId="6" borderId="19" xfId="0" applyNumberFormat="1" applyFont="1" applyFill="1" applyBorder="1" applyProtection="1">
      <protection locked="0"/>
    </xf>
    <xf numFmtId="0" fontId="4" fillId="6" borderId="15" xfId="0" applyFont="1" applyFill="1" applyBorder="1" applyProtection="1">
      <protection locked="0"/>
    </xf>
    <xf numFmtId="0" fontId="4" fillId="25" borderId="21" xfId="0" applyFont="1" applyFill="1" applyBorder="1" applyProtection="1">
      <protection locked="0"/>
    </xf>
    <xf numFmtId="168" fontId="4" fillId="25" borderId="19" xfId="0" applyNumberFormat="1" applyFont="1" applyFill="1" applyBorder="1" applyProtection="1">
      <protection locked="0"/>
    </xf>
    <xf numFmtId="10" fontId="4" fillId="13" borderId="15" xfId="2" applyNumberFormat="1" applyFont="1" applyFill="1" applyBorder="1" applyAlignment="1" applyProtection="1">
      <protection locked="0"/>
    </xf>
    <xf numFmtId="0" fontId="4" fillId="13" borderId="44" xfId="0" applyFont="1" applyFill="1" applyBorder="1" applyProtection="1">
      <protection locked="0"/>
    </xf>
    <xf numFmtId="0" fontId="4" fillId="13" borderId="15" xfId="0" applyFont="1" applyFill="1" applyBorder="1" applyProtection="1">
      <protection locked="0"/>
    </xf>
    <xf numFmtId="0" fontId="4" fillId="13" borderId="47" xfId="0" applyFont="1" applyFill="1" applyBorder="1" applyProtection="1">
      <protection locked="0"/>
    </xf>
    <xf numFmtId="0" fontId="4" fillId="13" borderId="76" xfId="0" applyFont="1" applyFill="1" applyBorder="1" applyAlignment="1" applyProtection="1">
      <alignment horizontal="center"/>
      <protection locked="0"/>
    </xf>
    <xf numFmtId="0" fontId="4" fillId="13" borderId="77" xfId="0" applyFont="1" applyFill="1" applyBorder="1" applyAlignment="1" applyProtection="1">
      <alignment horizontal="center"/>
      <protection locked="0"/>
    </xf>
    <xf numFmtId="0" fontId="4" fillId="13" borderId="56" xfId="0" applyFont="1" applyFill="1" applyBorder="1" applyAlignment="1" applyProtection="1">
      <alignment horizontal="center"/>
      <protection locked="0"/>
    </xf>
    <xf numFmtId="0" fontId="4" fillId="13" borderId="57" xfId="0" applyFont="1" applyFill="1" applyBorder="1" applyAlignment="1" applyProtection="1">
      <alignment horizontal="center"/>
      <protection locked="0"/>
    </xf>
    <xf numFmtId="0" fontId="4" fillId="13" borderId="26" xfId="0" applyFont="1" applyFill="1" applyBorder="1" applyAlignment="1" applyProtection="1">
      <alignment horizontal="center"/>
      <protection locked="0"/>
    </xf>
    <xf numFmtId="166" fontId="4" fillId="13" borderId="26" xfId="3" applyNumberFormat="1" applyFont="1" applyFill="1" applyBorder="1" applyAlignment="1" applyProtection="1">
      <alignment horizontal="center"/>
      <protection locked="0"/>
    </xf>
    <xf numFmtId="0" fontId="3" fillId="13" borderId="106" xfId="0" applyFont="1" applyFill="1" applyBorder="1" applyProtection="1">
      <protection locked="0"/>
    </xf>
    <xf numFmtId="0" fontId="3" fillId="13" borderId="60" xfId="0" applyFont="1" applyFill="1" applyBorder="1" applyProtection="1">
      <protection locked="0"/>
    </xf>
    <xf numFmtId="168" fontId="4" fillId="13" borderId="69" xfId="0" applyNumberFormat="1" applyFont="1" applyFill="1" applyBorder="1" applyAlignment="1" applyProtection="1">
      <alignment horizontal="center"/>
      <protection locked="0"/>
    </xf>
    <xf numFmtId="168" fontId="4" fillId="13" borderId="53" xfId="0" applyNumberFormat="1" applyFont="1" applyFill="1" applyBorder="1" applyAlignment="1" applyProtection="1">
      <alignment horizontal="center"/>
      <protection locked="0"/>
    </xf>
    <xf numFmtId="168" fontId="4" fillId="13" borderId="61" xfId="0" applyNumberFormat="1" applyFont="1" applyFill="1" applyBorder="1" applyAlignment="1" applyProtection="1">
      <alignment horizontal="center"/>
      <protection locked="0"/>
    </xf>
    <xf numFmtId="168" fontId="4" fillId="13" borderId="80" xfId="0" applyNumberFormat="1" applyFont="1" applyFill="1" applyBorder="1" applyAlignment="1" applyProtection="1">
      <alignment horizontal="center"/>
      <protection locked="0"/>
    </xf>
    <xf numFmtId="168" fontId="4" fillId="13" borderId="62" xfId="0" applyNumberFormat="1" applyFont="1" applyFill="1" applyBorder="1" applyAlignment="1" applyProtection="1">
      <alignment horizontal="center"/>
      <protection locked="0"/>
    </xf>
    <xf numFmtId="6" fontId="36" fillId="2" borderId="26" xfId="0" applyNumberFormat="1" applyFont="1" applyFill="1" applyBorder="1" applyProtection="1">
      <protection locked="0"/>
    </xf>
    <xf numFmtId="0" fontId="39" fillId="0" borderId="0" xfId="1" applyFont="1" applyFill="1" applyAlignment="1"/>
    <xf numFmtId="6" fontId="4" fillId="0" borderId="15" xfId="0" applyNumberFormat="1" applyFont="1" applyBorder="1" applyAlignment="1">
      <alignment horizontal="left"/>
    </xf>
    <xf numFmtId="10" fontId="4" fillId="0" borderId="44" xfId="2" applyNumberFormat="1" applyFont="1" applyFill="1" applyBorder="1"/>
    <xf numFmtId="0" fontId="4" fillId="0" borderId="15" xfId="0" applyFont="1" applyBorder="1" applyAlignment="1">
      <alignment horizontal="center" vertical="center"/>
    </xf>
    <xf numFmtId="0" fontId="3" fillId="0" borderId="56" xfId="0" applyFont="1" applyBorder="1" applyAlignment="1">
      <alignment horizontal="center"/>
    </xf>
    <xf numFmtId="0" fontId="3" fillId="0" borderId="40"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0" xfId="0" applyFont="1" applyFill="1" applyBorder="1" applyAlignment="1" applyProtection="1">
      <alignment horizontal="left" vertical="center"/>
      <protection locked="0"/>
    </xf>
    <xf numFmtId="42" fontId="4" fillId="2" borderId="40" xfId="0" applyNumberFormat="1" applyFont="1" applyFill="1" applyBorder="1" applyAlignment="1" applyProtection="1">
      <alignment vertical="center"/>
      <protection locked="0"/>
    </xf>
    <xf numFmtId="0" fontId="34" fillId="0" borderId="9" xfId="0" applyFont="1" applyBorder="1"/>
    <xf numFmtId="0" fontId="3" fillId="0" borderId="26" xfId="0" applyFont="1" applyBorder="1" applyAlignment="1">
      <alignment horizontal="right"/>
    </xf>
    <xf numFmtId="0" fontId="3" fillId="14" borderId="26" xfId="0" applyFont="1" applyFill="1" applyBorder="1" applyProtection="1">
      <protection locked="0"/>
    </xf>
    <xf numFmtId="168" fontId="4" fillId="23" borderId="26" xfId="0" applyNumberFormat="1" applyFont="1" applyFill="1" applyBorder="1" applyProtection="1">
      <protection locked="0"/>
    </xf>
    <xf numFmtId="168" fontId="17" fillId="23" borderId="26" xfId="0" applyNumberFormat="1" applyFont="1" applyFill="1" applyBorder="1" applyAlignment="1" applyProtection="1">
      <alignment vertical="center"/>
      <protection locked="0"/>
    </xf>
    <xf numFmtId="0" fontId="42" fillId="0" borderId="0" xfId="0" applyFont="1"/>
    <xf numFmtId="0" fontId="37" fillId="0" borderId="61" xfId="0" applyFont="1" applyBorder="1"/>
    <xf numFmtId="166" fontId="4" fillId="0" borderId="30" xfId="3" applyNumberFormat="1" applyFont="1" applyBorder="1" applyAlignment="1"/>
    <xf numFmtId="166" fontId="4" fillId="0" borderId="15" xfId="3" applyNumberFormat="1" applyFont="1" applyBorder="1" applyAlignment="1"/>
    <xf numFmtId="166" fontId="4" fillId="0" borderId="28" xfId="3" applyNumberFormat="1" applyFont="1" applyBorder="1" applyAlignment="1"/>
    <xf numFmtId="166" fontId="4" fillId="0" borderId="96" xfId="3" applyNumberFormat="1" applyFont="1" applyBorder="1" applyAlignment="1" applyProtection="1">
      <protection hidden="1"/>
    </xf>
    <xf numFmtId="166" fontId="4" fillId="0" borderId="31" xfId="3" applyNumberFormat="1" applyFont="1" applyBorder="1" applyAlignment="1" applyProtection="1">
      <protection hidden="1"/>
    </xf>
    <xf numFmtId="166" fontId="18" fillId="0" borderId="32" xfId="3" applyNumberFormat="1" applyFont="1" applyBorder="1" applyAlignment="1" applyProtection="1">
      <protection hidden="1"/>
    </xf>
    <xf numFmtId="166" fontId="18" fillId="0" borderId="24" xfId="3" applyNumberFormat="1" applyFont="1" applyBorder="1" applyAlignment="1" applyProtection="1">
      <protection hidden="1"/>
    </xf>
    <xf numFmtId="166" fontId="18" fillId="0" borderId="70" xfId="3" applyNumberFormat="1" applyFont="1" applyBorder="1" applyAlignment="1" applyProtection="1">
      <protection hidden="1"/>
    </xf>
    <xf numFmtId="166" fontId="4" fillId="0" borderId="97" xfId="3" applyNumberFormat="1" applyFont="1" applyBorder="1" applyAlignment="1" applyProtection="1">
      <protection hidden="1"/>
    </xf>
    <xf numFmtId="0" fontId="12" fillId="0" borderId="30" xfId="0" applyFont="1" applyBorder="1" applyAlignment="1">
      <alignment vertical="center"/>
    </xf>
    <xf numFmtId="0" fontId="4" fillId="13" borderId="44" xfId="0" applyFont="1" applyFill="1" applyBorder="1"/>
    <xf numFmtId="168" fontId="4" fillId="10" borderId="26"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3" xfId="0" applyNumberFormat="1" applyFont="1" applyFill="1" applyBorder="1" applyAlignment="1">
      <alignment vertical="center"/>
    </xf>
    <xf numFmtId="0" fontId="3" fillId="28" borderId="0" xfId="0" applyFont="1" applyFill="1" applyAlignment="1">
      <alignment vertical="center"/>
    </xf>
    <xf numFmtId="42" fontId="3" fillId="28" borderId="30" xfId="0" applyNumberFormat="1" applyFont="1" applyFill="1" applyBorder="1" applyAlignment="1">
      <alignment vertical="center"/>
    </xf>
    <xf numFmtId="42" fontId="3" fillId="28" borderId="15" xfId="0" applyNumberFormat="1" applyFont="1" applyFill="1" applyBorder="1" applyAlignment="1">
      <alignment vertical="center"/>
    </xf>
    <xf numFmtId="42" fontId="3" fillId="28" borderId="0" xfId="0" applyNumberFormat="1" applyFont="1" applyFill="1" applyAlignment="1">
      <alignment vertical="center"/>
    </xf>
    <xf numFmtId="42" fontId="3" fillId="28" borderId="96" xfId="0" applyNumberFormat="1" applyFont="1" applyFill="1" applyBorder="1" applyAlignment="1">
      <alignment vertical="center"/>
    </xf>
    <xf numFmtId="0" fontId="3" fillId="28" borderId="15" xfId="0" applyFont="1" applyFill="1" applyBorder="1" applyAlignment="1">
      <alignment vertical="center"/>
    </xf>
    <xf numFmtId="42" fontId="3" fillId="28" borderId="3" xfId="0" applyNumberFormat="1" applyFont="1" applyFill="1" applyBorder="1" applyAlignment="1">
      <alignment vertical="center"/>
    </xf>
    <xf numFmtId="42" fontId="3" fillId="28" borderId="93" xfId="0" applyNumberFormat="1" applyFont="1" applyFill="1" applyBorder="1" applyAlignment="1">
      <alignment vertical="center"/>
    </xf>
    <xf numFmtId="166" fontId="4" fillId="2" borderId="26" xfId="3" applyNumberFormat="1" applyFont="1" applyFill="1" applyBorder="1" applyProtection="1">
      <protection locked="0"/>
    </xf>
    <xf numFmtId="166" fontId="4" fillId="0" borderId="26" xfId="3" applyNumberFormat="1" applyFont="1" applyFill="1" applyBorder="1"/>
    <xf numFmtId="166" fontId="4" fillId="0" borderId="26" xfId="3" applyNumberFormat="1" applyFont="1" applyBorder="1"/>
    <xf numFmtId="166" fontId="3" fillId="0" borderId="0" xfId="0" applyNumberFormat="1" applyFont="1" applyAlignment="1">
      <alignment horizontal="left"/>
    </xf>
    <xf numFmtId="168" fontId="4" fillId="10" borderId="26" xfId="0" applyNumberFormat="1" applyFont="1" applyFill="1" applyBorder="1" applyProtection="1">
      <protection locked="0"/>
    </xf>
    <xf numFmtId="168" fontId="4" fillId="10" borderId="26" xfId="3" applyNumberFormat="1" applyFont="1" applyFill="1" applyBorder="1" applyProtection="1">
      <protection locked="0"/>
    </xf>
    <xf numFmtId="42" fontId="17" fillId="28" borderId="15" xfId="0" applyNumberFormat="1" applyFont="1" applyFill="1" applyBorder="1" applyAlignment="1">
      <alignment vertical="center"/>
    </xf>
    <xf numFmtId="42" fontId="17" fillId="0" borderId="30" xfId="0" applyNumberFormat="1" applyFont="1" applyBorder="1" applyAlignment="1">
      <alignment vertical="center"/>
    </xf>
    <xf numFmtId="42" fontId="4" fillId="28" borderId="15"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5" xfId="1" applyFill="1" applyBorder="1"/>
    <xf numFmtId="0" fontId="11" fillId="0" borderId="0" xfId="1"/>
    <xf numFmtId="0" fontId="11" fillId="0" borderId="0" xfId="1" applyAlignment="1"/>
    <xf numFmtId="165" fontId="4" fillId="10" borderId="26" xfId="0" applyNumberFormat="1" applyFont="1" applyFill="1" applyBorder="1" applyProtection="1">
      <protection locked="0"/>
    </xf>
    <xf numFmtId="0" fontId="3" fillId="0" borderId="26" xfId="0" applyFont="1" applyBorder="1" applyAlignment="1">
      <alignment horizontal="left"/>
    </xf>
    <xf numFmtId="0" fontId="3" fillId="0" borderId="11" xfId="2" applyNumberFormat="1" applyFont="1" applyBorder="1" applyAlignment="1">
      <alignment horizontal="left" vertical="center"/>
    </xf>
    <xf numFmtId="0" fontId="3" fillId="0" borderId="12" xfId="0" applyFont="1" applyBorder="1" applyAlignment="1">
      <alignment horizontal="left" vertical="center" wrapText="1"/>
    </xf>
    <xf numFmtId="0" fontId="3" fillId="0" borderId="45" xfId="0" applyFont="1" applyBorder="1" applyAlignment="1">
      <alignment vertical="center"/>
    </xf>
    <xf numFmtId="0" fontId="5" fillId="0" borderId="30" xfId="0" applyFont="1" applyBorder="1" applyAlignment="1">
      <alignment vertical="center"/>
    </xf>
    <xf numFmtId="0" fontId="3" fillId="0" borderId="31" xfId="0" applyFont="1" applyBorder="1"/>
    <xf numFmtId="0" fontId="0" fillId="0" borderId="87" xfId="0" applyBorder="1"/>
    <xf numFmtId="0" fontId="17" fillId="0" borderId="0" xfId="0" applyFont="1" applyAlignment="1">
      <alignment vertical="center"/>
    </xf>
    <xf numFmtId="0" fontId="17" fillId="0" borderId="44" xfId="0" applyFont="1" applyBorder="1" applyAlignment="1">
      <alignment vertical="center"/>
    </xf>
    <xf numFmtId="166" fontId="17" fillId="0" borderId="107" xfId="0" applyNumberFormat="1" applyFont="1" applyBorder="1" applyAlignment="1">
      <alignment vertical="center"/>
    </xf>
    <xf numFmtId="0" fontId="44" fillId="0" borderId="0" xfId="0" applyFont="1"/>
    <xf numFmtId="0" fontId="44" fillId="0" borderId="47" xfId="0" applyFont="1" applyBorder="1"/>
    <xf numFmtId="42" fontId="18" fillId="0" borderId="65" xfId="0" applyNumberFormat="1" applyFont="1" applyBorder="1"/>
    <xf numFmtId="166" fontId="4" fillId="0" borderId="22" xfId="3" applyNumberFormat="1" applyFont="1" applyBorder="1" applyAlignment="1"/>
    <xf numFmtId="44" fontId="4" fillId="0" borderId="29" xfId="0" applyNumberFormat="1" applyFont="1" applyBorder="1" applyAlignment="1">
      <alignment vertical="center"/>
    </xf>
    <xf numFmtId="44" fontId="4" fillId="0" borderId="15" xfId="0" applyNumberFormat="1" applyFont="1" applyBorder="1" applyAlignment="1">
      <alignment vertical="center"/>
    </xf>
    <xf numFmtId="44" fontId="4" fillId="0" borderId="28" xfId="0" applyNumberFormat="1" applyFont="1" applyBorder="1" applyAlignment="1">
      <alignment vertical="center"/>
    </xf>
    <xf numFmtId="44" fontId="4" fillId="0" borderId="41" xfId="0" applyNumberFormat="1" applyFont="1" applyBorder="1" applyAlignment="1">
      <alignment vertical="center"/>
    </xf>
    <xf numFmtId="44" fontId="4" fillId="0" borderId="0" xfId="0" applyNumberFormat="1" applyFont="1" applyAlignment="1">
      <alignment vertical="center"/>
    </xf>
    <xf numFmtId="44" fontId="4" fillId="0" borderId="73" xfId="0" applyNumberFormat="1" applyFont="1" applyBorder="1" applyAlignment="1">
      <alignment vertical="center"/>
    </xf>
    <xf numFmtId="44" fontId="4" fillId="0" borderId="22" xfId="0" applyNumberFormat="1" applyFont="1" applyBorder="1" applyAlignment="1">
      <alignment vertical="center"/>
    </xf>
    <xf numFmtId="44" fontId="4" fillId="0" borderId="74" xfId="0" applyNumberFormat="1" applyFont="1" applyBorder="1" applyAlignment="1">
      <alignment vertical="center"/>
    </xf>
    <xf numFmtId="44" fontId="4" fillId="0" borderId="105" xfId="0" applyNumberFormat="1" applyFont="1" applyBorder="1" applyAlignment="1">
      <alignment vertical="center"/>
    </xf>
    <xf numFmtId="44" fontId="4" fillId="0" borderId="54" xfId="0" applyNumberFormat="1" applyFont="1" applyBorder="1" applyAlignment="1">
      <alignment vertical="center"/>
    </xf>
    <xf numFmtId="44" fontId="3" fillId="0" borderId="53" xfId="0" applyNumberFormat="1" applyFont="1" applyBorder="1" applyAlignment="1">
      <alignment vertical="center"/>
    </xf>
    <xf numFmtId="0" fontId="4" fillId="2" borderId="26" xfId="3" applyNumberFormat="1" applyFont="1" applyFill="1" applyBorder="1" applyProtection="1">
      <protection locked="0"/>
    </xf>
    <xf numFmtId="0" fontId="26" fillId="0" borderId="42" xfId="0" applyFont="1" applyBorder="1" applyAlignment="1">
      <alignment vertical="center"/>
    </xf>
    <xf numFmtId="0" fontId="37" fillId="0" borderId="42" xfId="0" applyFont="1" applyBorder="1" applyAlignment="1">
      <alignment vertical="center"/>
    </xf>
    <xf numFmtId="167" fontId="4" fillId="15" borderId="42" xfId="0" applyNumberFormat="1" applyFont="1" applyFill="1" applyBorder="1" applyAlignment="1" applyProtection="1">
      <alignment horizontal="left" vertical="center"/>
      <protection locked="0"/>
    </xf>
    <xf numFmtId="14" fontId="20" fillId="18" borderId="30" xfId="0" applyNumberFormat="1" applyFont="1" applyFill="1" applyBorder="1" applyAlignment="1">
      <alignment horizontal="left" vertical="center"/>
    </xf>
    <xf numFmtId="14" fontId="20" fillId="18" borderId="15" xfId="0" applyNumberFormat="1" applyFont="1" applyFill="1" applyBorder="1" applyAlignment="1">
      <alignment horizontal="left" vertical="center"/>
    </xf>
    <xf numFmtId="44" fontId="4" fillId="0" borderId="26" xfId="3" applyFont="1" applyBorder="1" applyAlignment="1"/>
    <xf numFmtId="0" fontId="4" fillId="29" borderId="26" xfId="0" applyFont="1" applyFill="1" applyBorder="1" applyProtection="1">
      <protection locked="0"/>
    </xf>
    <xf numFmtId="44" fontId="4" fillId="29" borderId="26" xfId="3" applyFont="1" applyFill="1" applyBorder="1" applyAlignment="1" applyProtection="1">
      <protection locked="0"/>
    </xf>
    <xf numFmtId="0" fontId="4" fillId="0" borderId="15" xfId="0" applyFont="1" applyBorder="1" applyProtection="1">
      <protection locked="0"/>
    </xf>
    <xf numFmtId="44" fontId="4" fillId="0" borderId="0" xfId="3" applyFont="1" applyAlignment="1"/>
    <xf numFmtId="44" fontId="4" fillId="0" borderId="0" xfId="0" applyNumberFormat="1" applyFont="1"/>
    <xf numFmtId="0" fontId="13" fillId="0" borderId="15" xfId="0" applyFont="1" applyBorder="1"/>
    <xf numFmtId="0" fontId="26" fillId="0" borderId="108" xfId="0" applyFont="1" applyBorder="1" applyAlignment="1">
      <alignment horizontal="left"/>
    </xf>
    <xf numFmtId="0" fontId="4" fillId="15" borderId="42"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8" xfId="0" applyFont="1" applyFill="1" applyBorder="1" applyProtection="1">
      <protection locked="0"/>
    </xf>
    <xf numFmtId="0" fontId="4" fillId="23" borderId="26" xfId="0" applyFont="1" applyFill="1" applyBorder="1" applyProtection="1">
      <protection locked="0"/>
    </xf>
    <xf numFmtId="0" fontId="17" fillId="23" borderId="26" xfId="0" applyFont="1" applyFill="1" applyBorder="1" applyAlignment="1" applyProtection="1">
      <alignment vertical="center"/>
      <protection locked="0"/>
    </xf>
    <xf numFmtId="0" fontId="4" fillId="24" borderId="21" xfId="0" applyFont="1" applyFill="1" applyBorder="1" applyProtection="1">
      <protection locked="0"/>
    </xf>
    <xf numFmtId="0" fontId="4" fillId="24" borderId="19" xfId="0" applyFont="1" applyFill="1" applyBorder="1" applyProtection="1">
      <protection locked="0"/>
    </xf>
    <xf numFmtId="0" fontId="47" fillId="0" borderId="0" xfId="0" applyFont="1" applyAlignment="1">
      <alignment horizontal="right"/>
    </xf>
    <xf numFmtId="0" fontId="13" fillId="0" borderId="86" xfId="0" applyFont="1" applyBorder="1"/>
    <xf numFmtId="167" fontId="0" fillId="0" borderId="15"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5"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5"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6" xfId="0" applyFont="1" applyFill="1" applyBorder="1" applyAlignment="1" applyProtection="1">
      <alignment horizontal="left" vertical="center" wrapText="1"/>
      <protection locked="0"/>
    </xf>
    <xf numFmtId="0" fontId="26" fillId="0" borderId="85" xfId="0" applyFont="1" applyBorder="1" applyAlignment="1">
      <alignment vertical="center"/>
    </xf>
    <xf numFmtId="0" fontId="26" fillId="0" borderId="107" xfId="0" applyFont="1" applyBorder="1" applyAlignment="1">
      <alignment vertical="center"/>
    </xf>
    <xf numFmtId="0" fontId="26" fillId="0" borderId="101" xfId="0" applyFont="1" applyBorder="1" applyAlignment="1">
      <alignment vertical="center"/>
    </xf>
    <xf numFmtId="0" fontId="26" fillId="0" borderId="29" xfId="0" applyFont="1" applyBorder="1" applyAlignment="1">
      <alignment vertical="center"/>
    </xf>
    <xf numFmtId="0" fontId="26" fillId="0" borderId="45" xfId="0" applyFont="1" applyBorder="1" applyAlignment="1">
      <alignment vertical="center"/>
    </xf>
    <xf numFmtId="0" fontId="20" fillId="16" borderId="30" xfId="0" applyFont="1" applyFill="1" applyBorder="1" applyAlignment="1">
      <alignment horizontal="left" vertical="center" wrapText="1"/>
    </xf>
    <xf numFmtId="0" fontId="20" fillId="16" borderId="15" xfId="0" applyFont="1" applyFill="1" applyBorder="1" applyAlignment="1">
      <alignment horizontal="left" vertical="center" wrapText="1"/>
    </xf>
    <xf numFmtId="0" fontId="20" fillId="16" borderId="46" xfId="0" applyFont="1" applyFill="1" applyBorder="1" applyAlignment="1">
      <alignment horizontal="left" vertical="center"/>
    </xf>
    <xf numFmtId="166" fontId="4" fillId="0" borderId="15" xfId="3" applyNumberFormat="1" applyFont="1" applyFill="1" applyBorder="1" applyProtection="1">
      <protection locked="0"/>
    </xf>
    <xf numFmtId="1" fontId="27" fillId="15" borderId="42" xfId="0" applyNumberFormat="1" applyFont="1" applyFill="1" applyBorder="1" applyAlignment="1" applyProtection="1">
      <alignment horizontal="left" vertical="center"/>
      <protection locked="0"/>
    </xf>
    <xf numFmtId="0" fontId="3" fillId="0" borderId="21" xfId="0" applyFont="1" applyBorder="1" applyAlignment="1">
      <alignment horizontal="right"/>
    </xf>
    <xf numFmtId="0" fontId="3" fillId="0" borderId="20" xfId="0" applyFont="1" applyBorder="1" applyAlignment="1">
      <alignment horizontal="center"/>
    </xf>
    <xf numFmtId="0" fontId="3" fillId="30" borderId="104" xfId="0" applyFont="1" applyFill="1" applyBorder="1" applyAlignment="1">
      <alignment horizontal="right"/>
    </xf>
    <xf numFmtId="0" fontId="4" fillId="0" borderId="109" xfId="0" applyFont="1" applyBorder="1"/>
    <xf numFmtId="168" fontId="4" fillId="0" borderId="109" xfId="0" applyNumberFormat="1" applyFont="1" applyBorder="1"/>
    <xf numFmtId="168" fontId="3" fillId="30" borderId="110" xfId="0" applyNumberFormat="1" applyFont="1" applyFill="1" applyBorder="1"/>
    <xf numFmtId="168" fontId="3" fillId="30" borderId="111" xfId="0" applyNumberFormat="1" applyFont="1" applyFill="1" applyBorder="1"/>
    <xf numFmtId="9" fontId="4" fillId="13" borderId="26"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0"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0" fillId="0" borderId="112" xfId="0" applyBorder="1"/>
    <xf numFmtId="0" fontId="0" fillId="30" borderId="113" xfId="0" applyFill="1" applyBorder="1"/>
    <xf numFmtId="0" fontId="27" fillId="31" borderId="113" xfId="0" applyFont="1" applyFill="1" applyBorder="1" applyAlignment="1" applyProtection="1">
      <alignment horizontal="left" vertical="center"/>
      <protection locked="0"/>
    </xf>
    <xf numFmtId="0" fontId="27" fillId="31" borderId="114" xfId="0" applyFont="1" applyFill="1" applyBorder="1" applyAlignment="1" applyProtection="1">
      <alignment horizontal="left" vertical="center"/>
      <protection locked="0"/>
    </xf>
    <xf numFmtId="0" fontId="0" fillId="0" borderId="109" xfId="0" applyBorder="1"/>
    <xf numFmtId="0" fontId="3" fillId="30" borderId="26" xfId="0" applyFont="1" applyFill="1" applyBorder="1"/>
    <xf numFmtId="0" fontId="4" fillId="13" borderId="26" xfId="0" applyFont="1" applyFill="1" applyBorder="1" applyProtection="1">
      <protection locked="0"/>
    </xf>
    <xf numFmtId="166" fontId="4" fillId="30" borderId="26" xfId="3" applyNumberFormat="1" applyFont="1" applyFill="1" applyBorder="1" applyAlignment="1">
      <alignment horizontal="center"/>
    </xf>
    <xf numFmtId="0" fontId="3" fillId="30" borderId="69" xfId="0" applyFont="1" applyFill="1" applyBorder="1" applyAlignment="1">
      <alignment wrapText="1"/>
    </xf>
    <xf numFmtId="0" fontId="4" fillId="30" borderId="26" xfId="0" applyFont="1" applyFill="1" applyBorder="1"/>
    <xf numFmtId="0" fontId="3" fillId="30" borderId="26" xfId="0" applyFont="1" applyFill="1" applyBorder="1" applyAlignment="1">
      <alignment wrapText="1"/>
    </xf>
    <xf numFmtId="168" fontId="3" fillId="0" borderId="21" xfId="0" applyNumberFormat="1" applyFont="1" applyBorder="1" applyAlignment="1">
      <alignment horizontal="right"/>
    </xf>
    <xf numFmtId="0" fontId="48" fillId="0" borderId="0" xfId="1" applyFont="1" applyAlignment="1">
      <alignment horizontal="left" indent="1"/>
    </xf>
    <xf numFmtId="0" fontId="49" fillId="0" borderId="15" xfId="0" applyFont="1" applyBorder="1" applyAlignment="1">
      <alignment horizontal="center" vertical="center"/>
    </xf>
    <xf numFmtId="0" fontId="50" fillId="0" borderId="15" xfId="0" applyFont="1" applyBorder="1" applyAlignment="1">
      <alignment horizontal="center" vertical="center"/>
    </xf>
    <xf numFmtId="0" fontId="50" fillId="0" borderId="15" xfId="0" applyFont="1" applyBorder="1"/>
    <xf numFmtId="0" fontId="49" fillId="0" borderId="15" xfId="0" applyFont="1" applyBorder="1"/>
    <xf numFmtId="0" fontId="49" fillId="0" borderId="15" xfId="0" applyFont="1" applyBorder="1" applyAlignment="1">
      <alignment horizontal="center"/>
    </xf>
    <xf numFmtId="6" fontId="50" fillId="0" borderId="15" xfId="0" applyNumberFormat="1" applyFont="1" applyBorder="1" applyAlignment="1">
      <alignment horizontal="left"/>
    </xf>
    <xf numFmtId="0" fontId="51" fillId="0" borderId="15" xfId="1" applyFont="1" applyBorder="1"/>
    <xf numFmtId="6" fontId="50" fillId="0" borderId="15" xfId="0" applyNumberFormat="1" applyFont="1" applyBorder="1" applyAlignment="1">
      <alignment horizontal="center"/>
    </xf>
    <xf numFmtId="0" fontId="52" fillId="0" borderId="0" xfId="0" applyFont="1"/>
    <xf numFmtId="0" fontId="51" fillId="0" borderId="0" xfId="1" applyFont="1" applyAlignment="1"/>
    <xf numFmtId="168" fontId="52" fillId="0" borderId="15" xfId="0" applyNumberFormat="1" applyFont="1" applyBorder="1"/>
    <xf numFmtId="0" fontId="52" fillId="0" borderId="15" xfId="0" applyFont="1" applyBorder="1"/>
    <xf numFmtId="168" fontId="50" fillId="0" borderId="15" xfId="0" applyNumberFormat="1" applyFont="1" applyBorder="1"/>
    <xf numFmtId="0" fontId="51" fillId="0" borderId="15" xfId="1" applyFont="1" applyBorder="1" applyAlignment="1"/>
    <xf numFmtId="0" fontId="50" fillId="0" borderId="0" xfId="0" applyFont="1"/>
    <xf numFmtId="166" fontId="50" fillId="0" borderId="15" xfId="3" applyNumberFormat="1" applyFont="1" applyFill="1" applyBorder="1" applyAlignment="1">
      <alignment horizontal="center"/>
    </xf>
    <xf numFmtId="168" fontId="50" fillId="0" borderId="15" xfId="0" applyNumberFormat="1" applyFont="1" applyBorder="1" applyAlignment="1">
      <alignment horizontal="center"/>
    </xf>
    <xf numFmtId="0" fontId="24" fillId="0" borderId="15" xfId="0" applyFont="1" applyBorder="1" applyAlignment="1">
      <alignment horizontal="right"/>
    </xf>
    <xf numFmtId="0" fontId="0" fillId="0" borderId="0" xfId="0" applyAlignment="1">
      <alignment horizontal="center"/>
    </xf>
    <xf numFmtId="0" fontId="3" fillId="0" borderId="115" xfId="0" applyFont="1" applyBorder="1" applyAlignment="1">
      <alignment horizontal="center" vertical="center"/>
    </xf>
    <xf numFmtId="0" fontId="3" fillId="0" borderId="76" xfId="0" applyFont="1" applyBorder="1" applyAlignment="1">
      <alignment horizontal="center" vertical="center"/>
    </xf>
    <xf numFmtId="0" fontId="3" fillId="0" borderId="59" xfId="0" applyFont="1" applyBorder="1" applyAlignment="1">
      <alignment vertical="center"/>
    </xf>
    <xf numFmtId="0" fontId="4" fillId="0" borderId="15" xfId="0" applyFont="1" applyBorder="1" applyAlignment="1">
      <alignment horizontal="right" vertical="center"/>
    </xf>
    <xf numFmtId="0" fontId="17" fillId="0" borderId="31" xfId="0" applyFont="1" applyBorder="1" applyAlignment="1">
      <alignment horizontal="right" vertical="center"/>
    </xf>
    <xf numFmtId="14" fontId="4" fillId="0" borderId="58" xfId="0" applyNumberFormat="1" applyFont="1" applyBorder="1" applyAlignment="1">
      <alignment horizontal="center" vertical="center" wrapText="1"/>
    </xf>
    <xf numFmtId="14" fontId="4" fillId="0" borderId="73" xfId="0" applyNumberFormat="1" applyFont="1" applyBorder="1" applyAlignment="1">
      <alignment horizontal="center" vertical="center" wrapText="1"/>
    </xf>
    <xf numFmtId="14" fontId="4" fillId="0" borderId="26" xfId="0" applyNumberFormat="1" applyFont="1" applyBorder="1" applyAlignment="1">
      <alignment horizontal="center" vertical="center" wrapText="1"/>
    </xf>
    <xf numFmtId="14" fontId="4" fillId="0" borderId="116" xfId="0" applyNumberFormat="1" applyFont="1" applyBorder="1" applyAlignment="1">
      <alignment horizontal="center" vertical="center" wrapText="1"/>
    </xf>
    <xf numFmtId="14" fontId="4" fillId="0" borderId="58" xfId="0" applyNumberFormat="1" applyFont="1" applyBorder="1" applyAlignment="1">
      <alignment horizontal="center" vertical="center"/>
    </xf>
    <xf numFmtId="14" fontId="4" fillId="0" borderId="26" xfId="0" applyNumberFormat="1" applyFont="1" applyBorder="1" applyAlignment="1">
      <alignment horizontal="center" vertical="center"/>
    </xf>
    <xf numFmtId="165" fontId="4" fillId="0" borderId="30" xfId="0" applyNumberFormat="1" applyFont="1" applyBorder="1" applyAlignment="1">
      <alignment vertical="center"/>
    </xf>
    <xf numFmtId="165" fontId="17" fillId="3" borderId="117" xfId="0" applyNumberFormat="1" applyFont="1" applyFill="1" applyBorder="1" applyAlignment="1">
      <alignment vertical="center"/>
    </xf>
    <xf numFmtId="0" fontId="4" fillId="0" borderId="118" xfId="0" applyFont="1" applyBorder="1" applyAlignment="1">
      <alignment horizontal="left" vertical="center"/>
    </xf>
    <xf numFmtId="166" fontId="4" fillId="0" borderId="119" xfId="0" applyNumberFormat="1" applyFont="1" applyBorder="1" applyAlignment="1">
      <alignment vertical="center"/>
    </xf>
    <xf numFmtId="42" fontId="4" fillId="0" borderId="119" xfId="0" applyNumberFormat="1" applyFont="1" applyBorder="1" applyAlignment="1">
      <alignment vertical="center"/>
    </xf>
    <xf numFmtId="166" fontId="17" fillId="3" borderId="120" xfId="0" applyNumberFormat="1" applyFont="1" applyFill="1" applyBorder="1" applyAlignment="1">
      <alignment horizontal="left" vertical="center"/>
    </xf>
    <xf numFmtId="166" fontId="17" fillId="3" borderId="121" xfId="0" applyNumberFormat="1" applyFont="1" applyFill="1" applyBorder="1" applyAlignment="1">
      <alignment horizontal="left" vertical="center"/>
    </xf>
    <xf numFmtId="165" fontId="17" fillId="3" borderId="121" xfId="0" applyNumberFormat="1" applyFont="1" applyFill="1" applyBorder="1" applyAlignment="1">
      <alignment vertical="center"/>
    </xf>
    <xf numFmtId="0" fontId="27" fillId="0" borderId="30" xfId="0" applyFont="1" applyBorder="1" applyAlignment="1">
      <alignment vertical="center"/>
    </xf>
    <xf numFmtId="0" fontId="27" fillId="0" borderId="46" xfId="0" applyFont="1" applyBorder="1" applyAlignment="1">
      <alignment vertical="center"/>
    </xf>
    <xf numFmtId="0" fontId="27" fillId="3" borderId="42" xfId="2" applyNumberFormat="1" applyFont="1" applyFill="1" applyBorder="1" applyAlignment="1">
      <alignment horizontal="center" vertical="center"/>
    </xf>
    <xf numFmtId="166" fontId="20" fillId="0" borderId="0" xfId="3" applyNumberFormat="1" applyFont="1"/>
    <xf numFmtId="166" fontId="4" fillId="0" borderId="0" xfId="0" applyNumberFormat="1" applyFont="1" applyAlignment="1">
      <alignment horizontal="left" vertical="center"/>
    </xf>
    <xf numFmtId="0" fontId="0" fillId="0" borderId="0" xfId="0" applyAlignment="1">
      <alignment horizontal="center"/>
    </xf>
    <xf numFmtId="0" fontId="24" fillId="0" borderId="15" xfId="0" applyFont="1" applyBorder="1" applyAlignment="1">
      <alignment horizontal="right"/>
    </xf>
    <xf numFmtId="0" fontId="29" fillId="0" borderId="0" xfId="0" applyFont="1" applyAlignment="1">
      <alignment horizontal="center"/>
    </xf>
    <xf numFmtId="0" fontId="3" fillId="0" borderId="42" xfId="0" applyFont="1" applyBorder="1" applyAlignment="1">
      <alignment horizontal="center"/>
    </xf>
    <xf numFmtId="0" fontId="4" fillId="0" borderId="42" xfId="0" applyFont="1" applyBorder="1"/>
    <xf numFmtId="0" fontId="3" fillId="0" borderId="53" xfId="0" applyFont="1" applyBorder="1" applyAlignment="1">
      <alignment horizontal="center"/>
    </xf>
    <xf numFmtId="0" fontId="3" fillId="0" borderId="105" xfId="0" applyFont="1" applyBorder="1" applyAlignment="1">
      <alignment horizontal="center"/>
    </xf>
    <xf numFmtId="0" fontId="3" fillId="0" borderId="54"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4" xfId="0" applyFont="1" applyBorder="1" applyAlignment="1">
      <alignment horizontal="center" vertical="center"/>
    </xf>
    <xf numFmtId="0" fontId="34" fillId="0" borderId="11" xfId="0" applyFont="1" applyBorder="1" applyAlignment="1">
      <alignment horizontal="center"/>
    </xf>
    <xf numFmtId="0" fontId="34" fillId="0" borderId="1" xfId="0" applyFont="1" applyBorder="1" applyAlignment="1">
      <alignment horizontal="center"/>
    </xf>
    <xf numFmtId="0" fontId="20" fillId="0" borderId="0" xfId="0" applyFont="1" applyAlignment="1">
      <alignment horizontal="center"/>
    </xf>
    <xf numFmtId="0" fontId="40" fillId="0" borderId="47" xfId="0" applyFont="1" applyBorder="1" applyAlignment="1">
      <alignment horizontal="center" vertical="center"/>
    </xf>
    <xf numFmtId="168" fontId="3" fillId="0" borderId="66" xfId="0" applyNumberFormat="1" applyFont="1" applyBorder="1" applyAlignment="1">
      <alignment horizontal="center"/>
    </xf>
    <xf numFmtId="168" fontId="3" fillId="0" borderId="67" xfId="0" applyNumberFormat="1" applyFont="1" applyBorder="1" applyAlignment="1">
      <alignment horizontal="center"/>
    </xf>
    <xf numFmtId="168" fontId="3" fillId="0" borderId="68" xfId="0" applyNumberFormat="1" applyFont="1" applyBorder="1" applyAlignment="1">
      <alignment horizontal="center"/>
    </xf>
    <xf numFmtId="0" fontId="3" fillId="0" borderId="71" xfId="0" applyFont="1" applyBorder="1" applyAlignment="1">
      <alignment horizontal="right"/>
    </xf>
    <xf numFmtId="0" fontId="3" fillId="0" borderId="72" xfId="0" applyFont="1" applyBorder="1" applyAlignment="1">
      <alignment horizontal="right"/>
    </xf>
    <xf numFmtId="0" fontId="3" fillId="0" borderId="53" xfId="0" applyFont="1" applyBorder="1" applyAlignment="1">
      <alignment horizontal="right"/>
    </xf>
    <xf numFmtId="0" fontId="3" fillId="0" borderId="54" xfId="0" applyFont="1" applyBorder="1" applyAlignment="1">
      <alignment horizontal="right"/>
    </xf>
    <xf numFmtId="0" fontId="3" fillId="0" borderId="47" xfId="0" applyFont="1" applyBorder="1" applyAlignment="1">
      <alignment horizontal="center"/>
    </xf>
    <xf numFmtId="0" fontId="3" fillId="0" borderId="48" xfId="0" applyFont="1" applyBorder="1" applyAlignment="1">
      <alignment horizontal="center"/>
    </xf>
    <xf numFmtId="0" fontId="41" fillId="0" borderId="44" xfId="0" applyFont="1" applyBorder="1" applyAlignment="1">
      <alignment horizontal="center"/>
    </xf>
    <xf numFmtId="0" fontId="4" fillId="0" borderId="15" xfId="0" applyFont="1" applyBorder="1" applyAlignment="1">
      <alignment horizontal="center"/>
    </xf>
    <xf numFmtId="168" fontId="4" fillId="0" borderId="15" xfId="0" applyNumberFormat="1" applyFont="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4" fillId="10" borderId="26" xfId="0" applyFont="1" applyFill="1" applyBorder="1" applyAlignment="1" applyProtection="1">
      <alignment horizontal="left"/>
      <protection locked="0"/>
    </xf>
    <xf numFmtId="0" fontId="4" fillId="10" borderId="53" xfId="0" applyFont="1" applyFill="1" applyBorder="1" applyAlignment="1" applyProtection="1">
      <alignment horizontal="left"/>
      <protection locked="0"/>
    </xf>
    <xf numFmtId="0" fontId="4" fillId="10" borderId="105" xfId="0" applyFont="1" applyFill="1" applyBorder="1" applyAlignment="1" applyProtection="1">
      <alignment horizontal="left"/>
      <protection locked="0"/>
    </xf>
    <xf numFmtId="0" fontId="4" fillId="10" borderId="54" xfId="0" applyFont="1" applyFill="1" applyBorder="1" applyAlignment="1" applyProtection="1">
      <alignment horizontal="left"/>
      <protection locked="0"/>
    </xf>
    <xf numFmtId="0" fontId="32" fillId="18" borderId="83" xfId="0" applyFont="1" applyFill="1" applyBorder="1" applyAlignment="1">
      <alignment horizontal="center" vertical="center"/>
    </xf>
    <xf numFmtId="0" fontId="32" fillId="18" borderId="84" xfId="0" applyFont="1" applyFill="1" applyBorder="1" applyAlignment="1">
      <alignment horizontal="center" vertical="center"/>
    </xf>
    <xf numFmtId="0" fontId="32" fillId="18" borderId="85" xfId="0" applyFont="1" applyFill="1" applyBorder="1" applyAlignment="1">
      <alignment horizontal="center" vertical="center"/>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23" fillId="0" borderId="0" xfId="0" applyFont="1" applyAlignment="1">
      <alignment horizontal="center" vertical="center"/>
    </xf>
    <xf numFmtId="0" fontId="3" fillId="0" borderId="24" xfId="0" applyFont="1" applyBorder="1" applyAlignment="1">
      <alignment horizontal="center" vertical="center"/>
    </xf>
    <xf numFmtId="0" fontId="3" fillId="0" borderId="70" xfId="0" applyFont="1" applyBorder="1" applyAlignment="1">
      <alignment horizontal="center" vertical="center"/>
    </xf>
    <xf numFmtId="0" fontId="20" fillId="16" borderId="43" xfId="0" applyFont="1" applyFill="1" applyBorder="1" applyAlignment="1">
      <alignment horizontal="left" vertical="center" wrapText="1"/>
    </xf>
    <xf numFmtId="0" fontId="20" fillId="16" borderId="44" xfId="0" applyFont="1" applyFill="1" applyBorder="1" applyAlignment="1">
      <alignment horizontal="left" vertical="center" wrapText="1"/>
    </xf>
    <xf numFmtId="0" fontId="20" fillId="16" borderId="45" xfId="0" applyFont="1" applyFill="1" applyBorder="1" applyAlignment="1">
      <alignment horizontal="left" vertical="center" wrapText="1"/>
    </xf>
    <xf numFmtId="0" fontId="20" fillId="19" borderId="15" xfId="0" applyFont="1" applyFill="1" applyBorder="1" applyAlignment="1">
      <alignment horizontal="left" vertical="center"/>
    </xf>
    <xf numFmtId="0" fontId="20" fillId="19" borderId="31" xfId="0" applyFont="1" applyFill="1" applyBorder="1" applyAlignment="1">
      <alignment horizontal="left" vertical="center"/>
    </xf>
    <xf numFmtId="14" fontId="20" fillId="18" borderId="47" xfId="0" applyNumberFormat="1" applyFont="1" applyFill="1" applyBorder="1" applyAlignment="1">
      <alignment horizontal="left" vertical="center"/>
    </xf>
    <xf numFmtId="0" fontId="20" fillId="18" borderId="47" xfId="0" applyFont="1" applyFill="1" applyBorder="1" applyAlignment="1">
      <alignment horizontal="left" vertical="center"/>
    </xf>
    <xf numFmtId="0" fontId="20" fillId="18" borderId="48" xfId="0" applyFont="1" applyFill="1" applyBorder="1" applyAlignment="1">
      <alignment horizontal="left" vertical="center"/>
    </xf>
    <xf numFmtId="0" fontId="20" fillId="16" borderId="15" xfId="0" applyFont="1" applyFill="1" applyBorder="1" applyAlignment="1">
      <alignment horizontal="left" vertical="center"/>
    </xf>
    <xf numFmtId="0" fontId="20" fillId="16" borderId="31" xfId="0" applyFont="1" applyFill="1" applyBorder="1" applyAlignment="1">
      <alignment horizontal="left" vertical="center"/>
    </xf>
    <xf numFmtId="0" fontId="23" fillId="0" borderId="83" xfId="0" applyFont="1" applyBorder="1" applyAlignment="1">
      <alignment horizontal="left"/>
    </xf>
    <xf numFmtId="0" fontId="23" fillId="0" borderId="84" xfId="0" applyFont="1" applyBorder="1" applyAlignment="1">
      <alignment horizontal="left"/>
    </xf>
    <xf numFmtId="0" fontId="23" fillId="0" borderId="85" xfId="0" applyFont="1" applyBorder="1" applyAlignment="1">
      <alignment horizontal="left"/>
    </xf>
    <xf numFmtId="0" fontId="23" fillId="0" borderId="15" xfId="0" applyFont="1" applyBorder="1" applyAlignment="1">
      <alignment horizontal="center"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17462</xdr:colOff>
      <xdr:row>6</xdr:row>
      <xdr:rowOff>169862</xdr:rowOff>
    </xdr:from>
    <xdr:to>
      <xdr:col>15</xdr:col>
      <xdr:colOff>541338</xdr:colOff>
      <xdr:row>12</xdr:row>
      <xdr:rowOff>153987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749212" y="1458912"/>
          <a:ext cx="4467226" cy="105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42</xdr:row>
      <xdr:rowOff>171450</xdr:rowOff>
    </xdr:from>
    <xdr:to>
      <xdr:col>8</xdr:col>
      <xdr:colOff>1219200</xdr:colOff>
      <xdr:row>47</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05900" y="6794500"/>
          <a:ext cx="3625850"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31751</xdr:colOff>
      <xdr:row>0</xdr:row>
      <xdr:rowOff>31750</xdr:rowOff>
    </xdr:from>
    <xdr:ext cx="5537199" cy="749300"/>
    <xdr:sp macro="" textlink="">
      <xdr:nvSpPr>
        <xdr:cNvPr id="3" name="Shape 7">
          <a:extLst>
            <a:ext uri="{FF2B5EF4-FFF2-40B4-BE49-F238E27FC236}">
              <a16:creationId xmlns:a16="http://schemas.microsoft.com/office/drawing/2014/main" id="{60FDCA7A-A668-42FD-A5F1-0C529F2620B8}"/>
            </a:ext>
          </a:extLst>
        </xdr:cNvPr>
        <xdr:cNvSpPr txBox="1"/>
      </xdr:nvSpPr>
      <xdr:spPr>
        <a:xfrm>
          <a:off x="6172201" y="31750"/>
          <a:ext cx="5537199" cy="749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2025-2026</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$2,574/cr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50800</xdr:rowOff>
    </xdr:from>
    <xdr:ext cx="55435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39800"/>
          <a:ext cx="55435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50801</xdr:colOff>
      <xdr:row>18</xdr:row>
      <xdr:rowOff>31750</xdr:rowOff>
    </xdr:from>
    <xdr:ext cx="5543549" cy="5969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91251" y="3416300"/>
          <a:ext cx="5543549" cy="5969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effort to the project during the budget period, enter 50%. </a:t>
          </a: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57151</xdr:colOff>
      <xdr:row>12</xdr:row>
      <xdr:rowOff>6350</xdr:rowOff>
    </xdr:from>
    <xdr:ext cx="5530849" cy="863600"/>
    <xdr:sp macro="" textlink="">
      <xdr:nvSpPr>
        <xdr:cNvPr id="7" name="Shape 7">
          <a:extLst>
            <a:ext uri="{FF2B5EF4-FFF2-40B4-BE49-F238E27FC236}">
              <a16:creationId xmlns:a16="http://schemas.microsoft.com/office/drawing/2014/main" id="{19F18E10-DE57-44DB-B215-88B4DCF453CA}"/>
            </a:ext>
          </a:extLst>
        </xdr:cNvPr>
        <xdr:cNvSpPr txBox="1"/>
      </xdr:nvSpPr>
      <xdr:spPr>
        <a:xfrm>
          <a:off x="6197601" y="2317750"/>
          <a:ext cx="5530849" cy="8636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anticipated number of credit hours the</a:t>
          </a:r>
          <a:r>
            <a:rPr lang="en-US" sz="1000" baseline="0"/>
            <a:t> GRA will be enrolled during each budget period.</a:t>
          </a:r>
          <a:br>
            <a:rPr lang="en-US" sz="1000"/>
          </a:br>
          <a:r>
            <a:rPr lang="en-US" sz="1000"/>
            <a:t>Note that some graduate programs—such as the Computing and Information Sciences and Cognitive Sciences</a:t>
          </a:r>
          <a:r>
            <a:rPr lang="en-US" sz="1000" baseline="0"/>
            <a:t> </a:t>
          </a:r>
          <a:r>
            <a:rPr lang="en-US" sz="1000"/>
            <a:t>PhD programs—only permit PhD students in Year 2 or beyond to serve as GRAs.</a:t>
          </a:r>
          <a:r>
            <a:rPr lang="en-US" sz="1100" baseline="0">
              <a:effectLst/>
              <a:latin typeface="+mn-lt"/>
              <a:ea typeface="+mn-ea"/>
              <a:cs typeface="+mn-cs"/>
            </a:rPr>
            <a:t>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rit.edu/study/phd"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U28"/>
  <sheetViews>
    <sheetView zoomScale="80" zoomScaleNormal="80" workbookViewId="0">
      <selection activeCell="C11" sqref="C11"/>
    </sheetView>
  </sheetViews>
  <sheetFormatPr defaultColWidth="8.58203125" defaultRowHeight="14" x14ac:dyDescent="0.3"/>
  <cols>
    <col min="1" max="1" width="39.83203125" customWidth="1"/>
    <col min="2" max="2" width="67.08203125" customWidth="1"/>
    <col min="3" max="3" width="8.58203125" customWidth="1"/>
    <col min="4" max="4" width="29.58203125" customWidth="1"/>
    <col min="5" max="5" width="8.83203125" customWidth="1"/>
    <col min="6" max="6" width="10.1640625" customWidth="1"/>
    <col min="7" max="7" width="9.08203125" bestFit="1" customWidth="1"/>
    <col min="8" max="8" width="6.75" customWidth="1"/>
    <col min="9" max="9" width="9" customWidth="1"/>
    <col min="10" max="10" width="12.58203125" customWidth="1"/>
    <col min="12" max="21" width="8.58203125" hidden="1" customWidth="1"/>
  </cols>
  <sheetData>
    <row r="2" spans="1:21" ht="20" x14ac:dyDescent="0.4">
      <c r="A2" s="564" t="s">
        <v>343</v>
      </c>
      <c r="B2" s="564"/>
      <c r="C2" s="131"/>
      <c r="D2" s="88" t="s">
        <v>372</v>
      </c>
    </row>
    <row r="3" spans="1:21" ht="16" thickBot="1" x14ac:dyDescent="0.4">
      <c r="C3" s="39"/>
      <c r="D3" s="88" t="s">
        <v>310</v>
      </c>
      <c r="E3" s="89"/>
      <c r="F3" s="89"/>
    </row>
    <row r="4" spans="1:21" ht="20.25" customHeight="1" thickBot="1" x14ac:dyDescent="0.4">
      <c r="A4" s="485" t="s">
        <v>327</v>
      </c>
      <c r="B4" s="493"/>
      <c r="C4" s="84"/>
      <c r="E4" s="89"/>
      <c r="F4" s="89"/>
    </row>
    <row r="5" spans="1:21" ht="39.65" customHeight="1" thickBot="1" x14ac:dyDescent="0.4">
      <c r="A5" s="485" t="s">
        <v>1</v>
      </c>
      <c r="B5" s="483"/>
      <c r="D5" s="450" t="s">
        <v>134</v>
      </c>
      <c r="E5" s="127" t="s">
        <v>133</v>
      </c>
      <c r="F5" s="128" t="s">
        <v>10</v>
      </c>
      <c r="K5" s="52"/>
    </row>
    <row r="6" spans="1:21" ht="20.149999999999999" customHeight="1" thickBot="1" x14ac:dyDescent="0.4">
      <c r="A6" s="486" t="s">
        <v>119</v>
      </c>
      <c r="B6" s="292"/>
      <c r="D6" s="557" t="str">
        <f>IF(AND(B9="Federal",B11&gt;45838),"Federal FY26+",IF(AND(B9="Federal",B11&lt;45839),"Federal FY25",IF(AND(B9="Non-Federal",B11&gt;45838),"Non-Federal FY26+","Non-Federal FY25")))</f>
        <v>Non-Federal FY25</v>
      </c>
      <c r="E6" s="129">
        <f>IF(AND(B9="Federal",B11&gt;45838),Rate!B7,IF(AND(B9="Federal",B11&lt;45839),Rate!B6,IF(AND(B9="Non-Federal",B11&gt;45838),Rate!B9,Rate!B8)))</f>
        <v>0.36599999999999999</v>
      </c>
      <c r="F6" s="129">
        <f>IF(AND(B9="Federal",B11&gt;45838),Rate!C7,IF(AND(B9="Federal",B11&lt;45839),Rate!C6,IF(AND(B9="Non-Federal",B11&gt;45838),Rate!C9,Rate!C8)))</f>
        <v>8.5999999999999993E-2</v>
      </c>
      <c r="G6" s="84"/>
      <c r="H6" s="563"/>
      <c r="I6" s="563"/>
      <c r="J6" s="86"/>
      <c r="K6" s="53"/>
    </row>
    <row r="7" spans="1:21" ht="20.149999999999999" customHeight="1" thickBot="1" x14ac:dyDescent="0.4">
      <c r="A7" s="486" t="s">
        <v>307</v>
      </c>
      <c r="B7" s="293"/>
      <c r="D7" s="112"/>
      <c r="E7" s="89"/>
      <c r="F7" s="89"/>
      <c r="H7" s="39"/>
      <c r="I7" s="39"/>
      <c r="J7" s="39"/>
      <c r="K7" s="54"/>
    </row>
    <row r="8" spans="1:21" ht="20.149999999999999" customHeight="1" thickBot="1" x14ac:dyDescent="0.4">
      <c r="A8" s="487" t="s">
        <v>306</v>
      </c>
      <c r="B8" s="293"/>
      <c r="D8" s="450" t="s">
        <v>135</v>
      </c>
      <c r="E8" s="128" t="s">
        <v>133</v>
      </c>
      <c r="F8" s="128" t="s">
        <v>10</v>
      </c>
      <c r="H8" s="39"/>
      <c r="I8" s="39"/>
      <c r="J8" s="39"/>
      <c r="K8" s="54"/>
    </row>
    <row r="9" spans="1:21" ht="20.149999999999999" customHeight="1" thickBot="1" x14ac:dyDescent="0.4">
      <c r="A9" s="485" t="s">
        <v>188</v>
      </c>
      <c r="B9" s="294"/>
      <c r="D9" s="558" t="str">
        <f>IF(B9="Non-Federal", "Non-Federal FY26+", "Federal FY26+")</f>
        <v>Federal FY26+</v>
      </c>
      <c r="E9" s="129">
        <f>IF(B9="Non-Federal",Rate!B9, Rate!B7)</f>
        <v>0.3</v>
      </c>
      <c r="F9" s="130">
        <f>IF(B9="Non-Federal",Rate!C9,Rate!C7)</f>
        <v>8.2000000000000003E-2</v>
      </c>
      <c r="G9" s="84"/>
      <c r="H9" s="563"/>
      <c r="I9" s="563"/>
      <c r="J9" s="86"/>
      <c r="K9" s="54"/>
    </row>
    <row r="10" spans="1:21" ht="20.149999999999999" customHeight="1" thickBot="1" x14ac:dyDescent="0.4">
      <c r="A10" s="488" t="s">
        <v>143</v>
      </c>
      <c r="B10" s="292"/>
      <c r="D10" s="112"/>
      <c r="E10" s="89"/>
      <c r="F10" s="89"/>
      <c r="G10" s="39"/>
      <c r="H10" s="39"/>
      <c r="I10" s="39"/>
      <c r="J10" s="39"/>
    </row>
    <row r="11" spans="1:21" ht="20.149999999999999" customHeight="1" thickBot="1" x14ac:dyDescent="0.35">
      <c r="A11" s="485" t="s">
        <v>144</v>
      </c>
      <c r="B11" s="292"/>
      <c r="E11" s="537" t="s">
        <v>2</v>
      </c>
      <c r="F11" s="537" t="s">
        <v>3</v>
      </c>
      <c r="G11" s="537" t="s">
        <v>4</v>
      </c>
      <c r="H11" s="537" t="s">
        <v>5</v>
      </c>
      <c r="I11" s="537" t="s">
        <v>6</v>
      </c>
      <c r="L11" s="562" t="s">
        <v>2</v>
      </c>
      <c r="M11" s="562"/>
      <c r="N11" s="562" t="s">
        <v>3</v>
      </c>
      <c r="O11" s="562"/>
      <c r="P11" s="562" t="s">
        <v>4</v>
      </c>
      <c r="Q11" s="562"/>
      <c r="R11" s="562" t="s">
        <v>5</v>
      </c>
      <c r="S11" s="562"/>
      <c r="T11" s="562" t="s">
        <v>6</v>
      </c>
      <c r="U11" s="562"/>
    </row>
    <row r="12" spans="1:21" ht="20.149999999999999" customHeight="1" thickBot="1" x14ac:dyDescent="0.35">
      <c r="A12" s="485" t="s">
        <v>140</v>
      </c>
      <c r="B12" s="293"/>
      <c r="D12" s="450" t="s">
        <v>137</v>
      </c>
      <c r="E12" s="105" t="e">
        <f>IF(L12=FALSE,M12,L12)</f>
        <v>#N/A</v>
      </c>
      <c r="F12" s="105" t="e">
        <f>IF(N12=FALSE,O12,N12)</f>
        <v>#N/A</v>
      </c>
      <c r="G12" s="105" t="e">
        <f>IF(P12=FALSE,Q12,P12)</f>
        <v>#N/A</v>
      </c>
      <c r="H12" s="105" t="e">
        <f>IF(R12=FALSE,S12,R12)</f>
        <v>#N/A</v>
      </c>
      <c r="I12" s="105" t="e">
        <f>IF(T12=FALSE,U12,T12)</f>
        <v>#N/A</v>
      </c>
      <c r="J12" s="39"/>
      <c r="L12" s="39" t="e">
        <f>IF(B11&lt;45839,VLOOKUP($B$17,Rate!$A$22:$E$27,2,FALSE),IF(AND(B11&gt;45838,B11&lt;46204),VLOOKUP($B$17,Rate!$A$22:$E$27,3,FALSE)))</f>
        <v>#N/A</v>
      </c>
      <c r="M12" s="472" t="b">
        <f>IF(AND(B11&gt;46203,B11&lt;46569),VLOOKUP($B$17,Rate!$A22:$E27,4,FALSE),IF(B11&gt;46568,VLOOKUP($B$17,Rate!$A$22:$E$27,5,FALSE)))</f>
        <v>0</v>
      </c>
      <c r="N12" s="39" t="b">
        <f>IF('Main Budget'!C8&lt;45839,VLOOKUP($B$17,Rate!$A$22:$E$27,2,FALSE),IF(AND('Main Budget'!C8&gt;45838,'Main Budget'!C8&lt;46204),VLOOKUP($B$17,Rate!$A$22:$E$27,3,FALSE)))</f>
        <v>0</v>
      </c>
      <c r="O12" s="472" t="e">
        <f>IF(AND('Main Budget'!C8&gt;46203,'Main Budget'!C8&lt;46569),VLOOKUP($B$17,Rate!$A22:$E27,4,FALSE),IF('Main Budget'!C8&gt;46568,VLOOKUP($B$17,Rate!$A$22:$E$27,5,FALSE)))</f>
        <v>#N/A</v>
      </c>
      <c r="P12" s="39" t="b">
        <f>IF('Main Budget'!D8&lt;45839,VLOOKUP($B$17,Rate!$A$22:$E$27,2,FALSE),IF(AND('Main Budget'!D8&gt;45838,'Main Budget'!D8&lt;46204),VLOOKUP($B$17,Rate!$A$22:$E$27,3,FALSE)))</f>
        <v>0</v>
      </c>
      <c r="Q12" s="472" t="e">
        <f>IF(AND('Main Budget'!D8&gt;46203,'Main Budget'!D8&lt;46569),VLOOKUP($B$17,Rate!$A22:$E27,4,FALSE),IF('Main Budget'!D8&gt;46568,VLOOKUP($B$17,Rate!$A$22:$E$27,5,FALSE)))</f>
        <v>#N/A</v>
      </c>
      <c r="R12" s="39" t="b">
        <f>IF('Main Budget'!E8&lt;45839,VLOOKUP($B$17,Rate!$A$22:$E$27,2,FALSE),IF(AND('Main Budget'!E8&gt;45838,'Main Budget'!E8&lt;46204),VLOOKUP($B$17,Rate!$A$22:$E$27,3,FALSE)))</f>
        <v>0</v>
      </c>
      <c r="S12" s="472" t="e">
        <f>IF(AND('Main Budget'!E8&gt;46203,'Main Budget'!E8&lt;46569),VLOOKUP($B$17,Rate!$A22:$E27,4,FALSE),IF('Main Budget'!E8&gt;46568,VLOOKUP($B$17,Rate!$A$22:$E$27,5,FALSE)))</f>
        <v>#N/A</v>
      </c>
      <c r="T12" s="39" t="b">
        <f>IF('Main Budget'!F8&lt;45839,VLOOKUP($B$17,Rate!$A$22:$E$27,2,FALSE),IF(AND('Main Budget'!F8&gt;45838,'Main Budget'!F8&lt;46204),VLOOKUP($B$17,Rate!$A$22:$E$27,3,FALSE)))</f>
        <v>0</v>
      </c>
      <c r="U12" s="472" t="e">
        <f>IF(AND('Main Budget'!F8&gt;46203,'Main Budget'!F8&lt;46569),VLOOKUP($B$17,Rate!$A22:$E27,4,FALSE),IF('Main Budget'!F8&gt;46568,VLOOKUP($B$17,Rate!$A$22:$E$27,5,FALSE)))</f>
        <v>#N/A</v>
      </c>
    </row>
    <row r="13" spans="1:21" ht="20.149999999999999" customHeight="1" thickBot="1" x14ac:dyDescent="0.4">
      <c r="A13" s="485" t="s">
        <v>66</v>
      </c>
      <c r="B13" s="295"/>
      <c r="F13" s="89"/>
      <c r="H13" s="536"/>
      <c r="I13" s="536"/>
      <c r="J13" s="86"/>
    </row>
    <row r="14" spans="1:21" ht="20.149999999999999" customHeight="1" thickBot="1" x14ac:dyDescent="0.4">
      <c r="A14" s="485" t="s">
        <v>354</v>
      </c>
      <c r="B14" s="295"/>
      <c r="D14" s="450" t="s">
        <v>136</v>
      </c>
      <c r="E14" s="559">
        <f xml:space="preserve"> IF(B9="Federal",Rate!B18,Rate!B19)</f>
        <v>252.6</v>
      </c>
      <c r="F14" s="89"/>
      <c r="H14" s="39"/>
      <c r="I14" s="39"/>
      <c r="J14" s="39"/>
    </row>
    <row r="15" spans="1:21" ht="20.149999999999999" customHeight="1" thickBot="1" x14ac:dyDescent="0.35">
      <c r="A15" s="486" t="s">
        <v>206</v>
      </c>
      <c r="B15" s="463"/>
      <c r="D15" s="507"/>
      <c r="E15" s="506"/>
    </row>
    <row r="16" spans="1:21" ht="20.149999999999999" customHeight="1" thickBot="1" x14ac:dyDescent="0.35">
      <c r="A16" s="484" t="s">
        <v>264</v>
      </c>
      <c r="B16" s="463"/>
      <c r="D16" s="508"/>
      <c r="E16" s="506"/>
      <c r="F16" s="74"/>
    </row>
    <row r="17" spans="1:6" ht="20.149999999999999" customHeight="1" thickBot="1" x14ac:dyDescent="0.35">
      <c r="A17" s="450" t="s">
        <v>150</v>
      </c>
      <c r="B17" s="294"/>
      <c r="D17" s="509"/>
      <c r="E17" s="506"/>
      <c r="F17" s="74"/>
    </row>
    <row r="18" spans="1:6" ht="20.149999999999999" customHeight="1" thickBot="1" x14ac:dyDescent="0.35">
      <c r="A18" s="451" t="s">
        <v>145</v>
      </c>
      <c r="B18" s="452"/>
      <c r="D18" s="510"/>
      <c r="F18" s="74"/>
    </row>
    <row r="19" spans="1:6" s="88" customFormat="1" ht="15" x14ac:dyDescent="0.3">
      <c r="A19"/>
      <c r="B19"/>
      <c r="C19" s="283"/>
    </row>
    <row r="20" spans="1:6" x14ac:dyDescent="0.3">
      <c r="A20" s="88"/>
      <c r="B20" s="88"/>
      <c r="C20" s="39"/>
    </row>
    <row r="21" spans="1:6" ht="15.5" x14ac:dyDescent="0.3">
      <c r="C21" s="111"/>
    </row>
    <row r="22" spans="1:6" x14ac:dyDescent="0.3">
      <c r="C22" s="39"/>
    </row>
    <row r="23" spans="1:6" x14ac:dyDescent="0.3">
      <c r="C23" s="39"/>
    </row>
    <row r="28" spans="1:6" x14ac:dyDescent="0.3">
      <c r="B28" s="470" t="s">
        <v>304</v>
      </c>
    </row>
  </sheetData>
  <sheetProtection algorithmName="SHA-512" hashValue="s42fwk3pEkwvarnXqXETwpI0X1FCdk0LVQGQQuHmsJVjw+UHY84SEyqWX/9ygD+gF8dYhhylK1vXDjcQr4rHTw==" saltValue="VmtdD8Uoceg1N0PLELjwCg==" spinCount="100000" sheet="1" objects="1" scenarios="1"/>
  <mergeCells count="8">
    <mergeCell ref="T11:U11"/>
    <mergeCell ref="H6:I6"/>
    <mergeCell ref="H9:I9"/>
    <mergeCell ref="A2:B2"/>
    <mergeCell ref="L11:M11"/>
    <mergeCell ref="N11:O11"/>
    <mergeCell ref="P11:Q11"/>
    <mergeCell ref="R11:S11"/>
  </mergeCells>
  <dataValidations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J13</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5"/>
  <sheetViews>
    <sheetView topLeftCell="A19" workbookViewId="0">
      <selection activeCell="C27" sqref="C27"/>
    </sheetView>
  </sheetViews>
  <sheetFormatPr defaultRowHeight="18" customHeight="1" x14ac:dyDescent="0.3"/>
  <cols>
    <col min="1" max="1" width="8.6640625" style="87"/>
    <col min="2" max="2" width="16.25" style="87" customWidth="1"/>
    <col min="3" max="3" width="87.08203125" style="87" customWidth="1"/>
    <col min="4" max="16384" width="8.6640625" style="87"/>
  </cols>
  <sheetData>
    <row r="1" spans="1:3" ht="18" customHeight="1" x14ac:dyDescent="0.3">
      <c r="A1" s="481" t="s">
        <v>303</v>
      </c>
    </row>
    <row r="3" spans="1:3" ht="18" customHeight="1" x14ac:dyDescent="0.3">
      <c r="A3" s="482" t="s">
        <v>294</v>
      </c>
      <c r="B3" s="482" t="s">
        <v>302</v>
      </c>
      <c r="C3" s="482" t="s">
        <v>301</v>
      </c>
    </row>
    <row r="4" spans="1:3" ht="18" customHeight="1" x14ac:dyDescent="0.3">
      <c r="A4" s="478">
        <v>30</v>
      </c>
      <c r="B4" s="479">
        <v>45783</v>
      </c>
      <c r="C4" s="133" t="s">
        <v>311</v>
      </c>
    </row>
    <row r="5" spans="1:3" ht="18" customHeight="1" x14ac:dyDescent="0.3">
      <c r="C5" s="133" t="s">
        <v>309</v>
      </c>
    </row>
    <row r="6" spans="1:3" ht="18" customHeight="1" x14ac:dyDescent="0.3">
      <c r="C6" s="133" t="s">
        <v>312</v>
      </c>
    </row>
    <row r="7" spans="1:3" ht="18" customHeight="1" x14ac:dyDescent="0.3">
      <c r="C7" s="133" t="s">
        <v>334</v>
      </c>
    </row>
    <row r="8" spans="1:3" ht="18" customHeight="1" x14ac:dyDescent="0.3">
      <c r="C8" s="133" t="s">
        <v>335</v>
      </c>
    </row>
    <row r="9" spans="1:3" ht="18" customHeight="1" x14ac:dyDescent="0.3">
      <c r="A9" s="478">
        <v>31</v>
      </c>
      <c r="B9" s="479">
        <v>45813</v>
      </c>
      <c r="C9" s="133" t="s">
        <v>320</v>
      </c>
    </row>
    <row r="10" spans="1:3" ht="18" customHeight="1" x14ac:dyDescent="0.3">
      <c r="C10" s="133" t="s">
        <v>321</v>
      </c>
    </row>
    <row r="11" spans="1:3" ht="18" customHeight="1" x14ac:dyDescent="0.3">
      <c r="C11" s="133" t="s">
        <v>317</v>
      </c>
    </row>
    <row r="12" spans="1:3" ht="18" customHeight="1" x14ac:dyDescent="0.3">
      <c r="C12" s="133" t="s">
        <v>318</v>
      </c>
    </row>
    <row r="13" spans="1:3" ht="18" customHeight="1" x14ac:dyDescent="0.3">
      <c r="C13" s="133" t="s">
        <v>322</v>
      </c>
    </row>
    <row r="14" spans="1:3" ht="18" customHeight="1" x14ac:dyDescent="0.3">
      <c r="C14" s="133" t="s">
        <v>319</v>
      </c>
    </row>
    <row r="15" spans="1:3" ht="18" customHeight="1" x14ac:dyDescent="0.3">
      <c r="A15" s="480">
        <v>31.1</v>
      </c>
      <c r="B15" s="479">
        <v>45814</v>
      </c>
      <c r="C15" s="133" t="s">
        <v>324</v>
      </c>
    </row>
    <row r="16" spans="1:3" ht="18" customHeight="1" x14ac:dyDescent="0.3">
      <c r="A16" s="478">
        <v>32</v>
      </c>
      <c r="B16" s="479">
        <v>45834</v>
      </c>
      <c r="C16" s="133" t="s">
        <v>333</v>
      </c>
    </row>
    <row r="17" spans="1:3" ht="18" customHeight="1" x14ac:dyDescent="0.3">
      <c r="C17" s="133" t="s">
        <v>332</v>
      </c>
    </row>
    <row r="18" spans="1:3" ht="18" customHeight="1" x14ac:dyDescent="0.3">
      <c r="C18" s="133" t="s">
        <v>331</v>
      </c>
    </row>
    <row r="19" spans="1:3" ht="18" customHeight="1" x14ac:dyDescent="0.3">
      <c r="C19" s="133" t="s">
        <v>360</v>
      </c>
    </row>
    <row r="20" spans="1:3" ht="18" customHeight="1" x14ac:dyDescent="0.3">
      <c r="C20" s="133" t="s">
        <v>337</v>
      </c>
    </row>
    <row r="21" spans="1:3" ht="18" customHeight="1" x14ac:dyDescent="0.3">
      <c r="A21" s="480">
        <v>32.1</v>
      </c>
      <c r="B21" s="479">
        <v>45852</v>
      </c>
      <c r="C21" s="87" t="s">
        <v>361</v>
      </c>
    </row>
    <row r="22" spans="1:3" ht="18" customHeight="1" x14ac:dyDescent="0.3">
      <c r="A22" s="480">
        <v>32.200000000000003</v>
      </c>
      <c r="B22" s="479">
        <v>45860</v>
      </c>
      <c r="C22" s="133" t="s">
        <v>349</v>
      </c>
    </row>
    <row r="23" spans="1:3" ht="18" customHeight="1" x14ac:dyDescent="0.3">
      <c r="C23" s="133" t="s">
        <v>359</v>
      </c>
    </row>
    <row r="24" spans="1:3" ht="18" customHeight="1" x14ac:dyDescent="0.3">
      <c r="A24" s="478">
        <v>33</v>
      </c>
      <c r="B24" s="479">
        <v>45890</v>
      </c>
      <c r="C24" s="87" t="s">
        <v>367</v>
      </c>
    </row>
    <row r="25" spans="1:3" ht="18" customHeight="1" x14ac:dyDescent="0.3">
      <c r="A25" s="478">
        <v>34</v>
      </c>
      <c r="B25" s="479">
        <v>45902</v>
      </c>
      <c r="C25" s="87" t="s">
        <v>373</v>
      </c>
    </row>
  </sheetData>
  <sheetProtection algorithmName="SHA-512" hashValue="0ueswGZutwn+yZ77BkLuSRXZEayPeCxi6VCvFYgYiv7nbgLM4yRTd4JnkjkOAxBzcI7UWO0gvj2xGGUKawpR/w==" saltValue="PHgDXD3yj1oQFcUbKj3IT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0"/>
  <sheetViews>
    <sheetView topLeftCell="A26" workbookViewId="0">
      <selection activeCell="E41" sqref="E41"/>
    </sheetView>
  </sheetViews>
  <sheetFormatPr defaultColWidth="8.58203125" defaultRowHeight="14" x14ac:dyDescent="0.3"/>
  <cols>
    <col min="1" max="1" width="29.75" customWidth="1"/>
    <col min="2" max="2" width="14.58203125" customWidth="1"/>
    <col min="3" max="3" width="15.33203125" customWidth="1"/>
    <col min="4" max="4" width="14" customWidth="1"/>
    <col min="5" max="5" width="11.25" customWidth="1"/>
    <col min="6" max="6" width="11.58203125" customWidth="1"/>
    <col min="8" max="8" width="20.33203125" customWidth="1"/>
    <col min="10" max="10" width="14.58203125" customWidth="1"/>
    <col min="11" max="11" width="9.58203125" bestFit="1" customWidth="1"/>
    <col min="13" max="13" width="21.25" customWidth="1"/>
  </cols>
  <sheetData>
    <row r="1" spans="1:16" ht="15" x14ac:dyDescent="0.3">
      <c r="A1" s="100"/>
      <c r="B1" s="101" t="s">
        <v>2</v>
      </c>
      <c r="C1" s="101" t="s">
        <v>3</v>
      </c>
      <c r="D1" s="101" t="s">
        <v>4</v>
      </c>
      <c r="E1" s="101" t="s">
        <v>5</v>
      </c>
      <c r="F1" s="102" t="s">
        <v>6</v>
      </c>
      <c r="G1" s="39"/>
      <c r="H1" s="462" t="s">
        <v>122</v>
      </c>
      <c r="I1" s="104"/>
      <c r="J1" s="109" t="s">
        <v>255</v>
      </c>
    </row>
    <row r="2" spans="1:16" ht="15.5" x14ac:dyDescent="0.35">
      <c r="A2" s="96" t="s">
        <v>123</v>
      </c>
      <c r="B2" s="97">
        <f>Instruction!B11</f>
        <v>0</v>
      </c>
      <c r="C2" s="97" t="str">
        <f>IF(Instruction!B12&lt;=12,"N/A",DATE(YEAR(B3),MONTH(B3),DAY(B3)+1))</f>
        <v>N/A</v>
      </c>
      <c r="D2" s="97" t="str">
        <f>IF(Instruction!B12&lt;=24,"N/A",DATE(YEAR(C3),MONTH(C3),DAY(C3)+1))</f>
        <v>N/A</v>
      </c>
      <c r="E2" s="97" t="str">
        <f>IF(Instruction!B12&lt;=36,"N/A",DATE(YEAR(D3),MONTH(D3),DAY(D3)+1))</f>
        <v>N/A</v>
      </c>
      <c r="F2" s="103" t="str">
        <f>IF(Instruction!B12&lt;=48,"N/A",DATE(YEAR(E3),MONTH(E3),DAY(E3)+1))</f>
        <v>N/A</v>
      </c>
      <c r="G2" s="84"/>
      <c r="H2" s="110" t="s">
        <v>291</v>
      </c>
      <c r="I2" s="104"/>
      <c r="J2" s="110" t="s">
        <v>257</v>
      </c>
    </row>
    <row r="3" spans="1:16" ht="16" thickBot="1" x14ac:dyDescent="0.4">
      <c r="A3" s="98" t="s">
        <v>124</v>
      </c>
      <c r="B3" s="99" t="e">
        <f>IF(Instruction!B12&lt;12,DATE(YEAR(B2),MONTH(B2)+Instruction!B12,DAY(B2)-1),DATE(YEAR(B2),MONTH(B2)+12,DAY(B2)-1))</f>
        <v>#NUM!</v>
      </c>
      <c r="C3" s="99" t="str">
        <f>IF(C2="N/A","N/A",IF(AND(Instruction!B12&gt;12,Instruction!B12&lt;24),DATE(YEAR(C2),MONTH(C2)+Instruction!B12-12,DAY(C2)-1),DATE(YEAR(C2),MONTH(C2)+12,DAY(C2)-1)))</f>
        <v>N/A</v>
      </c>
      <c r="D3" s="99" t="str">
        <f>IF(D2="N/A","N/A",IF(AND(Instruction!B12&gt;24,Instruction!B12&lt;36),DATE(YEAR(D2),MONTH(D2)+Instruction!B12-24,DAY(D2)-1),DATE(YEAR(D2),MONTH(D2)+12,DAY(D2)-1)))</f>
        <v>N/A</v>
      </c>
      <c r="E3" s="99" t="str">
        <f>IF(E2="N/A","N/A",IF(AND(Instruction!B12&gt;36,Instruction!B12&lt;48),DATE(YEAR(E2),MONTH(E2)+Instruction!B12-36,DAY(E2)-1),DATE(YEAR(E2),MONTH(E2)+12,DAY(E2)-1)))</f>
        <v>N/A</v>
      </c>
      <c r="F3" s="99" t="str">
        <f>IF(F2="N/A","N/A",IF(AND(Instruction!B12&gt;48,Instruction!B12&lt;60),DATE(YEAR(F2),MONTH(F2)+Instruction!B12-48,DAY(F2)-1),DATE(YEAR(F2),MONTH(F2)+12,DAY(F2)-1)))</f>
        <v>N/A</v>
      </c>
      <c r="G3" s="39"/>
      <c r="H3" s="110" t="s">
        <v>125</v>
      </c>
      <c r="I3" s="104"/>
      <c r="J3" s="110" t="s">
        <v>274</v>
      </c>
      <c r="K3" s="74"/>
    </row>
    <row r="4" spans="1:16" ht="16" thickBot="1" x14ac:dyDescent="0.4">
      <c r="A4" s="75"/>
      <c r="B4" s="76"/>
      <c r="C4" s="76"/>
      <c r="D4" s="76"/>
      <c r="E4" s="76"/>
      <c r="F4" s="76"/>
      <c r="G4" s="39"/>
      <c r="H4" s="110" t="s">
        <v>120</v>
      </c>
      <c r="I4" s="104"/>
      <c r="J4" s="110" t="s">
        <v>256</v>
      </c>
      <c r="K4" s="74"/>
    </row>
    <row r="5" spans="1:16" ht="16" thickBot="1" x14ac:dyDescent="0.4">
      <c r="A5" s="614" t="s">
        <v>127</v>
      </c>
      <c r="B5" s="615"/>
      <c r="C5" s="616"/>
      <c r="D5" s="617"/>
      <c r="E5" s="617"/>
      <c r="F5" s="617"/>
      <c r="G5" s="39"/>
      <c r="H5" s="110" t="s">
        <v>126</v>
      </c>
      <c r="I5" s="104"/>
      <c r="J5" s="110" t="s">
        <v>254</v>
      </c>
      <c r="K5" s="74"/>
    </row>
    <row r="6" spans="1:16" ht="16" thickBot="1" x14ac:dyDescent="0.4">
      <c r="A6" s="106" t="s">
        <v>283</v>
      </c>
      <c r="B6" s="78">
        <v>0.29499999999999998</v>
      </c>
      <c r="C6" s="94">
        <v>7.8E-2</v>
      </c>
      <c r="D6" s="78"/>
      <c r="E6" s="78"/>
      <c r="F6" s="78"/>
      <c r="G6" s="166"/>
      <c r="H6" s="461" t="s">
        <v>293</v>
      </c>
      <c r="I6" s="84"/>
      <c r="J6" s="110" t="s">
        <v>258</v>
      </c>
      <c r="K6" s="74"/>
    </row>
    <row r="7" spans="1:16" ht="15.5" x14ac:dyDescent="0.35">
      <c r="A7" s="107" t="s">
        <v>284</v>
      </c>
      <c r="B7" s="78">
        <v>0.3</v>
      </c>
      <c r="C7" s="78">
        <v>8.2000000000000003E-2</v>
      </c>
      <c r="D7" s="146"/>
      <c r="E7" s="78"/>
      <c r="F7" s="78"/>
      <c r="G7" s="166"/>
      <c r="H7" s="461" t="s">
        <v>128</v>
      </c>
      <c r="I7" s="84"/>
      <c r="J7" s="112"/>
      <c r="P7" s="77"/>
    </row>
    <row r="8" spans="1:16" ht="15.5" x14ac:dyDescent="0.35">
      <c r="A8" s="107" t="s">
        <v>285</v>
      </c>
      <c r="B8" s="78">
        <v>0.36599999999999999</v>
      </c>
      <c r="C8" s="95">
        <v>8.5999999999999993E-2</v>
      </c>
      <c r="D8" s="78"/>
      <c r="E8" s="78"/>
      <c r="F8" s="78"/>
      <c r="G8" s="166"/>
      <c r="H8" s="110" t="s">
        <v>292</v>
      </c>
      <c r="I8" s="84"/>
    </row>
    <row r="9" spans="1:16" ht="16" thickBot="1" x14ac:dyDescent="0.4">
      <c r="A9" s="107" t="s">
        <v>286</v>
      </c>
      <c r="B9" s="78">
        <v>0.36899999999999999</v>
      </c>
      <c r="C9" s="95">
        <v>8.5999999999999993E-2</v>
      </c>
      <c r="D9" s="78"/>
      <c r="E9" s="78"/>
      <c r="F9" s="78"/>
      <c r="H9" s="471" t="s">
        <v>308</v>
      </c>
      <c r="I9" s="84"/>
    </row>
    <row r="10" spans="1:16" ht="14.5" thickBot="1" x14ac:dyDescent="0.35">
      <c r="A10" s="80" t="s">
        <v>129</v>
      </c>
      <c r="B10" s="81">
        <v>0</v>
      </c>
      <c r="C10" s="82">
        <v>0</v>
      </c>
      <c r="D10" s="78"/>
      <c r="E10" s="78"/>
      <c r="F10" s="78"/>
      <c r="H10" s="112"/>
      <c r="N10" s="79"/>
      <c r="O10" s="79"/>
    </row>
    <row r="11" spans="1:16" x14ac:dyDescent="0.3">
      <c r="A11" s="106" t="s">
        <v>288</v>
      </c>
      <c r="B11" s="93">
        <v>0.21299999999999999</v>
      </c>
      <c r="C11" s="94">
        <v>0</v>
      </c>
      <c r="D11" s="78"/>
      <c r="E11" s="78"/>
      <c r="F11" s="78"/>
      <c r="N11" s="79"/>
      <c r="O11" s="79"/>
    </row>
    <row r="12" spans="1:16" x14ac:dyDescent="0.3">
      <c r="A12" s="107" t="s">
        <v>287</v>
      </c>
      <c r="B12" s="78">
        <v>0.218</v>
      </c>
      <c r="C12" s="95">
        <v>0</v>
      </c>
      <c r="D12" s="78"/>
      <c r="E12" s="78"/>
      <c r="F12" s="78"/>
      <c r="N12" s="79"/>
      <c r="O12" s="79"/>
    </row>
    <row r="13" spans="1:16" x14ac:dyDescent="0.3">
      <c r="A13" s="107" t="s">
        <v>289</v>
      </c>
      <c r="B13" s="78">
        <v>0.26200000000000001</v>
      </c>
      <c r="C13" s="95">
        <v>0</v>
      </c>
      <c r="D13" s="78"/>
      <c r="E13" s="78"/>
      <c r="F13" s="78"/>
      <c r="N13" s="79"/>
      <c r="O13" s="79"/>
    </row>
    <row r="14" spans="1:16" x14ac:dyDescent="0.3">
      <c r="A14" s="107" t="s">
        <v>290</v>
      </c>
      <c r="B14" s="78">
        <v>0.26600000000000001</v>
      </c>
      <c r="C14" s="95">
        <v>0</v>
      </c>
      <c r="D14" s="83"/>
      <c r="E14" s="83"/>
      <c r="F14" s="83"/>
      <c r="N14" s="79"/>
      <c r="O14" s="79"/>
    </row>
    <row r="15" spans="1:16" ht="14.5" thickBot="1" x14ac:dyDescent="0.35">
      <c r="A15" s="80" t="s">
        <v>130</v>
      </c>
      <c r="B15" s="81"/>
      <c r="C15" s="82"/>
      <c r="D15" s="83"/>
      <c r="E15" s="83"/>
      <c r="F15" s="83"/>
      <c r="N15" s="79"/>
      <c r="O15" s="79"/>
    </row>
    <row r="16" spans="1:16" x14ac:dyDescent="0.3">
      <c r="B16" s="79"/>
      <c r="C16" s="79"/>
    </row>
    <row r="17" spans="1:6" ht="14.5" x14ac:dyDescent="0.35">
      <c r="A17" s="24" t="s">
        <v>336</v>
      </c>
      <c r="E17" s="91"/>
    </row>
    <row r="18" spans="1:6" ht="14.5" x14ac:dyDescent="0.35">
      <c r="A18" s="25" t="s">
        <v>138</v>
      </c>
      <c r="B18" s="26">
        <v>248.9</v>
      </c>
      <c r="D18" s="29"/>
      <c r="E18" s="92"/>
    </row>
    <row r="19" spans="1:6" ht="14.5" x14ac:dyDescent="0.35">
      <c r="A19" s="25" t="s">
        <v>139</v>
      </c>
      <c r="B19" s="26">
        <v>252.6</v>
      </c>
    </row>
    <row r="21" spans="1:6" ht="14.5" x14ac:dyDescent="0.35">
      <c r="A21" s="24" t="s">
        <v>41</v>
      </c>
      <c r="B21" s="27" t="s">
        <v>313</v>
      </c>
      <c r="C21" s="27" t="s">
        <v>314</v>
      </c>
      <c r="D21" t="s">
        <v>315</v>
      </c>
      <c r="E21" s="27" t="s">
        <v>316</v>
      </c>
    </row>
    <row r="22" spans="1:6" ht="14.5" x14ac:dyDescent="0.35">
      <c r="A22" s="27" t="s">
        <v>131</v>
      </c>
      <c r="B22" s="28">
        <f>Instruction!B18</f>
        <v>0</v>
      </c>
      <c r="C22" s="28">
        <f>Instruction!B18</f>
        <v>0</v>
      </c>
      <c r="D22" s="28">
        <f>Instruction!B18</f>
        <v>0</v>
      </c>
      <c r="E22" s="28">
        <f>Instruction!B18</f>
        <v>0</v>
      </c>
    </row>
    <row r="23" spans="1:6" ht="14.5" x14ac:dyDescent="0.35">
      <c r="A23" s="27" t="s">
        <v>132</v>
      </c>
      <c r="B23" s="28">
        <v>0</v>
      </c>
      <c r="C23" s="28">
        <v>0</v>
      </c>
      <c r="D23" s="83">
        <v>0</v>
      </c>
      <c r="E23" s="83">
        <v>0</v>
      </c>
    </row>
    <row r="24" spans="1:6" ht="14.5" x14ac:dyDescent="0.35">
      <c r="A24" s="27" t="s">
        <v>146</v>
      </c>
      <c r="B24" s="28">
        <v>0.48</v>
      </c>
      <c r="C24" s="28">
        <v>0.49</v>
      </c>
      <c r="D24" s="83">
        <v>0.495</v>
      </c>
      <c r="E24" s="83">
        <v>0.5</v>
      </c>
    </row>
    <row r="25" spans="1:6" ht="14.5" x14ac:dyDescent="0.35">
      <c r="A25" s="27" t="s">
        <v>147</v>
      </c>
      <c r="B25" s="28">
        <v>0.48099999999999998</v>
      </c>
      <c r="C25" s="28">
        <v>0.48</v>
      </c>
      <c r="D25" s="83">
        <v>0.48</v>
      </c>
      <c r="E25" s="83">
        <v>0.48</v>
      </c>
    </row>
    <row r="26" spans="1:6" ht="14.5" x14ac:dyDescent="0.35">
      <c r="A26" s="27" t="s">
        <v>148</v>
      </c>
      <c r="B26" s="28">
        <v>0.38600000000000001</v>
      </c>
      <c r="C26" s="28">
        <v>0.35100000000000003</v>
      </c>
      <c r="D26" s="83">
        <v>0.35099999999999998</v>
      </c>
      <c r="E26" s="83">
        <v>0.35099999999999998</v>
      </c>
    </row>
    <row r="27" spans="1:6" ht="14.5" x14ac:dyDescent="0.35">
      <c r="A27" s="27" t="s">
        <v>149</v>
      </c>
      <c r="B27" s="28">
        <v>0.26</v>
      </c>
      <c r="C27" s="28">
        <v>0.26</v>
      </c>
      <c r="D27" s="83">
        <v>0.26</v>
      </c>
      <c r="E27" s="83">
        <v>0.26</v>
      </c>
    </row>
    <row r="29" spans="1:6" x14ac:dyDescent="0.3">
      <c r="A29" s="88" t="s">
        <v>305</v>
      </c>
      <c r="B29" s="108">
        <v>225700</v>
      </c>
    </row>
    <row r="31" spans="1:6" x14ac:dyDescent="0.3">
      <c r="A31" s="88" t="s">
        <v>172</v>
      </c>
      <c r="F31">
        <v>45839</v>
      </c>
    </row>
    <row r="32" spans="1:6" x14ac:dyDescent="0.3">
      <c r="A32" s="85" t="s">
        <v>180</v>
      </c>
      <c r="B32" s="85" t="s">
        <v>173</v>
      </c>
      <c r="C32" s="85" t="s">
        <v>174</v>
      </c>
      <c r="D32" s="85" t="s">
        <v>180</v>
      </c>
    </row>
    <row r="33" spans="1:4" x14ac:dyDescent="0.3">
      <c r="A33">
        <v>46265</v>
      </c>
      <c r="B33">
        <v>45535</v>
      </c>
      <c r="C33">
        <v>45900</v>
      </c>
      <c r="D33">
        <v>46265</v>
      </c>
    </row>
    <row r="34" spans="1:4" x14ac:dyDescent="0.3">
      <c r="A34">
        <v>46631</v>
      </c>
      <c r="B34">
        <v>45901</v>
      </c>
      <c r="C34">
        <v>46266</v>
      </c>
      <c r="D34">
        <v>46631</v>
      </c>
    </row>
    <row r="35" spans="1:4" x14ac:dyDescent="0.3">
      <c r="A35">
        <v>46630</v>
      </c>
      <c r="B35">
        <v>45900</v>
      </c>
      <c r="C35">
        <v>46265</v>
      </c>
      <c r="D35">
        <v>46630</v>
      </c>
    </row>
    <row r="37" spans="1:4" x14ac:dyDescent="0.3">
      <c r="A37" s="88" t="s">
        <v>178</v>
      </c>
    </row>
    <row r="38" spans="1:4" x14ac:dyDescent="0.3">
      <c r="A38" s="85" t="s">
        <v>176</v>
      </c>
    </row>
    <row r="39" spans="1:4" x14ac:dyDescent="0.3">
      <c r="A39" s="85" t="s">
        <v>177</v>
      </c>
    </row>
    <row r="40" spans="1:4" x14ac:dyDescent="0.3">
      <c r="A40" s="85" t="s">
        <v>179</v>
      </c>
    </row>
  </sheetData>
  <sheetProtection algorithmName="SHA-512" hashValue="j5Nzk5O2jFvKrPwn0wAZF3mqpfv2mOMTE8XNJb6ye5G6H70kMRAj05Egf0mgAZinVK63V6fv6UsHdo516fmvyQ==" saltValue="5jZfod+JT/7hAmZVtodp3w=="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023"/>
  <sheetViews>
    <sheetView tabSelected="1" topLeftCell="A4" zoomScaleNormal="100" workbookViewId="0">
      <selection activeCell="C12" sqref="C12"/>
    </sheetView>
  </sheetViews>
  <sheetFormatPr defaultColWidth="12.58203125" defaultRowHeight="15" customHeight="1" outlineLevelRow="1" outlineLevelCol="1" x14ac:dyDescent="0.3"/>
  <cols>
    <col min="1" max="1" width="39.58203125" style="156" customWidth="1"/>
    <col min="2" max="2" width="14.5" style="156" customWidth="1"/>
    <col min="3" max="3" width="17.5" style="156" customWidth="1"/>
    <col min="4" max="4" width="15.08203125" style="156" customWidth="1"/>
    <col min="5" max="9" width="16.08203125" style="156" customWidth="1"/>
    <col min="10" max="10" width="13.83203125" style="156" customWidth="1"/>
    <col min="11" max="11" width="7.58203125" style="156" customWidth="1"/>
    <col min="12" max="12" width="7.58203125" style="156" hidden="1" customWidth="1" outlineLevel="1"/>
    <col min="13" max="13" width="7.58203125" style="156" customWidth="1" collapsed="1"/>
    <col min="14" max="27" width="7.58203125" style="156" customWidth="1"/>
    <col min="28" max="16384" width="12.58203125" style="156"/>
  </cols>
  <sheetData>
    <row r="1" spans="1:12" ht="14.25" customHeight="1" thickBot="1" x14ac:dyDescent="0.35">
      <c r="A1" s="174" t="s">
        <v>250</v>
      </c>
      <c r="D1" s="175"/>
      <c r="E1" s="75"/>
      <c r="G1" s="176"/>
    </row>
    <row r="2" spans="1:12" ht="14.25" customHeight="1" thickBot="1" x14ac:dyDescent="0.35">
      <c r="A2" s="296">
        <v>0.03</v>
      </c>
      <c r="B2" s="156" t="s">
        <v>63</v>
      </c>
      <c r="D2" s="177"/>
      <c r="E2" s="76"/>
    </row>
    <row r="3" spans="1:12" ht="14.25" customHeight="1" thickBot="1" x14ac:dyDescent="0.35">
      <c r="A3" s="296">
        <v>0.03</v>
      </c>
      <c r="B3" s="156" t="s">
        <v>64</v>
      </c>
      <c r="E3" s="178"/>
    </row>
    <row r="4" spans="1:12" ht="14.25" customHeight="1" thickBot="1" x14ac:dyDescent="0.35">
      <c r="A4" s="297">
        <v>0</v>
      </c>
      <c r="B4" s="156" t="s">
        <v>253</v>
      </c>
      <c r="D4" s="76"/>
      <c r="E4" s="178"/>
      <c r="G4" s="179"/>
    </row>
    <row r="5" spans="1:12" ht="14.15" customHeight="1" x14ac:dyDescent="0.3">
      <c r="A5" s="180"/>
      <c r="D5" s="76"/>
      <c r="E5" s="178"/>
      <c r="G5" s="179"/>
    </row>
    <row r="6" spans="1:12" ht="31.5" customHeight="1" x14ac:dyDescent="0.3">
      <c r="A6" s="167" t="s">
        <v>210</v>
      </c>
      <c r="B6" s="174" t="s">
        <v>65</v>
      </c>
      <c r="C6" s="181" t="s">
        <v>73</v>
      </c>
      <c r="D6" s="182" t="s">
        <v>28</v>
      </c>
      <c r="E6" s="167" t="s">
        <v>29</v>
      </c>
      <c r="F6" s="167" t="s">
        <v>30</v>
      </c>
      <c r="G6" s="167" t="s">
        <v>31</v>
      </c>
      <c r="H6" s="167" t="s">
        <v>32</v>
      </c>
      <c r="I6" s="167" t="s">
        <v>33</v>
      </c>
      <c r="L6" s="167" t="s">
        <v>175</v>
      </c>
    </row>
    <row r="7" spans="1:12" ht="14.25" customHeight="1" x14ac:dyDescent="0.3">
      <c r="A7" s="286" t="s">
        <v>60</v>
      </c>
      <c r="B7" s="183"/>
    </row>
    <row r="8" spans="1:12" ht="14.25" customHeight="1" x14ac:dyDescent="0.3">
      <c r="A8" s="185" t="str">
        <f>"PI: " &amp; Instruction!B6</f>
        <v xml:space="preserve">PI: </v>
      </c>
      <c r="B8" s="409"/>
      <c r="C8" s="410">
        <f>IF(AND(Instruction!$B$15="Yes", Salary!L8/Salary!D8&gt;Rate!B29/12),Rate!B29/12*Salary!D8, Salary!L8)</f>
        <v>0</v>
      </c>
      <c r="D8" s="299">
        <v>9</v>
      </c>
      <c r="E8" s="299"/>
      <c r="F8" s="299"/>
      <c r="G8" s="299"/>
      <c r="H8" s="299"/>
      <c r="I8" s="299"/>
      <c r="L8" s="172">
        <f>IF(AND(Instruction!$B$11&gt;Rate!$A$33, Instruction!$B$11 &lt;Rate!$A$34), Salary!B8*1.03,IF(Instruction!$B$11&gt;Rate!$A$35,Salary!B8*1.03*1.03,Salary!B8))</f>
        <v>0</v>
      </c>
    </row>
    <row r="9" spans="1:12" ht="14.25" customHeight="1" x14ac:dyDescent="0.3">
      <c r="A9" s="298" t="s">
        <v>246</v>
      </c>
      <c r="B9" s="409"/>
      <c r="C9" s="410">
        <f>IF(AND(Instruction!$B$15="Yes", Salary!L9/Salary!D9&gt;Rate!B29/12),Rate!B29/12*Salary!D9, Salary!L9)</f>
        <v>0</v>
      </c>
      <c r="D9" s="299">
        <v>9</v>
      </c>
      <c r="E9" s="299"/>
      <c r="F9" s="299"/>
      <c r="G9" s="299"/>
      <c r="H9" s="299"/>
      <c r="I9" s="299"/>
      <c r="L9" s="172">
        <f>IF(AND(Instruction!$B$11&gt;Rate!$A$33, Instruction!$B$11 &lt;Rate!$A$34), Salary!B9*1.03,IF(Instruction!$B$11&gt;Rate!$A$35,Salary!B9*1.03*1.03,Salary!B9))</f>
        <v>0</v>
      </c>
    </row>
    <row r="10" spans="1:12" ht="14.25" customHeight="1" x14ac:dyDescent="0.3">
      <c r="A10" s="299" t="s">
        <v>234</v>
      </c>
      <c r="B10" s="409"/>
      <c r="C10" s="410">
        <f>IF(AND(Instruction!$B$15="Yes", Salary!L10/Salary!D10&gt;Rate!B29/12),Rate!B29/12*Salary!D10, Salary!L10)</f>
        <v>0</v>
      </c>
      <c r="D10" s="299">
        <v>9</v>
      </c>
      <c r="E10" s="299"/>
      <c r="F10" s="299"/>
      <c r="G10" s="299"/>
      <c r="H10" s="299"/>
      <c r="I10" s="299"/>
      <c r="L10" s="172">
        <f>IF(AND(Instruction!$B$11&gt;Rate!$A$33, Instruction!$B$11 &lt;Rate!$A$34), Salary!B10*1.03,IF(Instruction!$B$11&gt;Rate!$A$35,Salary!B10*1.03*1.03,Salary!B10))</f>
        <v>0</v>
      </c>
    </row>
    <row r="11" spans="1:12" ht="14.25" customHeight="1" x14ac:dyDescent="0.3">
      <c r="A11" s="299" t="s">
        <v>75</v>
      </c>
      <c r="B11" s="409"/>
      <c r="C11" s="410">
        <f>IF(AND(Instruction!$B$15="Yes", Salary!L11/Salary!D11&gt;Rate!B29/12),Rate!B29/12*Salary!D11, Salary!L11)</f>
        <v>0</v>
      </c>
      <c r="D11" s="299">
        <v>9</v>
      </c>
      <c r="E11" s="299"/>
      <c r="F11" s="299"/>
      <c r="G11" s="299"/>
      <c r="H11" s="299"/>
      <c r="I11" s="299"/>
      <c r="L11" s="172">
        <f>IF(AND(Instruction!$B$11&gt;Rate!$A$33, Instruction!$B$11 &lt;Rate!$A$34), Salary!B11*1.03,IF(Instruction!$B$11&gt;Rate!$A$35,Salary!B11*1.03*1.03,Salary!B11))</f>
        <v>0</v>
      </c>
    </row>
    <row r="12" spans="1:12" ht="14.25" customHeight="1" x14ac:dyDescent="0.3">
      <c r="A12" s="299" t="s">
        <v>76</v>
      </c>
      <c r="B12" s="409"/>
      <c r="C12" s="410">
        <f>IF(AND(Instruction!$B$15="Yes", Salary!L12/Salary!D12&gt;Rate!B29/12),Rate!B29/12*Salary!D12, Salary!L12)</f>
        <v>0</v>
      </c>
      <c r="D12" s="299">
        <v>9</v>
      </c>
      <c r="E12" s="299"/>
      <c r="F12" s="299"/>
      <c r="G12" s="299"/>
      <c r="H12" s="299"/>
      <c r="I12" s="299"/>
      <c r="L12" s="172">
        <f>IF(AND(Instruction!$B$11&gt;Rate!$A$33, Instruction!$B$11 &lt;Rate!$A$34), Salary!B12*1.03,IF(Instruction!$B$11&gt;Rate!$A$35,Salary!B12*1.03*1.03,Salary!B12))</f>
        <v>0</v>
      </c>
    </row>
    <row r="13" spans="1:12" ht="14.25" customHeight="1" x14ac:dyDescent="0.3">
      <c r="A13" s="299" t="s">
        <v>77</v>
      </c>
      <c r="B13" s="409"/>
      <c r="C13" s="410">
        <f>IF(AND(Instruction!$B$15="Yes", Salary!L13/Salary!D13&gt;Rate!B29/12),Rate!B29/12*Salary!D13, Salary!L13)</f>
        <v>0</v>
      </c>
      <c r="D13" s="299">
        <v>9</v>
      </c>
      <c r="E13" s="299"/>
      <c r="F13" s="299"/>
      <c r="G13" s="299"/>
      <c r="H13" s="299"/>
      <c r="I13" s="299"/>
      <c r="L13" s="172">
        <f>IF(AND(Instruction!$B$11&gt;Rate!$A$33, Instruction!$B$11 &lt;Rate!$A$34), Salary!B13*1.03,IF(Instruction!$B$11&gt;Rate!$A$35,Salary!B13*1.03*1.03,Salary!B13))</f>
        <v>0</v>
      </c>
    </row>
    <row r="14" spans="1:12" ht="14.25" customHeight="1" x14ac:dyDescent="0.3">
      <c r="A14" s="286" t="s">
        <v>10</v>
      </c>
      <c r="B14" s="184"/>
      <c r="C14" s="172"/>
    </row>
    <row r="15" spans="1:12" ht="14.25" customHeight="1" x14ac:dyDescent="0.3">
      <c r="A15" s="185" t="str">
        <f>A8</f>
        <v xml:space="preserve">PI: </v>
      </c>
      <c r="B15" s="411">
        <f>B8</f>
        <v>0</v>
      </c>
      <c r="C15" s="411">
        <f>C8</f>
        <v>0</v>
      </c>
      <c r="D15" s="185">
        <f>D8</f>
        <v>9</v>
      </c>
      <c r="E15" s="299"/>
      <c r="F15" s="299"/>
      <c r="G15" s="299"/>
      <c r="H15" s="299"/>
      <c r="I15" s="299"/>
    </row>
    <row r="16" spans="1:12" ht="14.25" customHeight="1" x14ac:dyDescent="0.3">
      <c r="A16" s="185" t="str">
        <f t="shared" ref="A16:A20" si="0">A9</f>
        <v>Co-PI 1: Enter name here</v>
      </c>
      <c r="B16" s="411">
        <f t="shared" ref="B16:D20" si="1">B9</f>
        <v>0</v>
      </c>
      <c r="C16" s="411">
        <f t="shared" si="1"/>
        <v>0</v>
      </c>
      <c r="D16" s="185">
        <f t="shared" si="1"/>
        <v>9</v>
      </c>
      <c r="E16" s="299"/>
      <c r="F16" s="299"/>
      <c r="G16" s="299"/>
      <c r="H16" s="299"/>
      <c r="I16" s="299"/>
    </row>
    <row r="17" spans="1:9" ht="14.25" customHeight="1" x14ac:dyDescent="0.3">
      <c r="A17" s="185" t="str">
        <f t="shared" si="0"/>
        <v>Co-PI 2: Enter name here</v>
      </c>
      <c r="B17" s="411">
        <f t="shared" si="1"/>
        <v>0</v>
      </c>
      <c r="C17" s="411">
        <f t="shared" si="1"/>
        <v>0</v>
      </c>
      <c r="D17" s="185">
        <f t="shared" si="1"/>
        <v>9</v>
      </c>
      <c r="E17" s="299"/>
      <c r="F17" s="299"/>
      <c r="G17" s="299"/>
      <c r="H17" s="299"/>
      <c r="I17" s="299"/>
    </row>
    <row r="18" spans="1:9" ht="14.25" customHeight="1" x14ac:dyDescent="0.3">
      <c r="A18" s="185" t="str">
        <f t="shared" si="0"/>
        <v>Co-PI 3:</v>
      </c>
      <c r="B18" s="411">
        <f t="shared" si="1"/>
        <v>0</v>
      </c>
      <c r="C18" s="411">
        <f t="shared" si="1"/>
        <v>0</v>
      </c>
      <c r="D18" s="185">
        <f t="shared" si="1"/>
        <v>9</v>
      </c>
      <c r="E18" s="299"/>
      <c r="F18" s="299"/>
      <c r="G18" s="299"/>
      <c r="H18" s="299"/>
      <c r="I18" s="299"/>
    </row>
    <row r="19" spans="1:9" ht="14.25" customHeight="1" x14ac:dyDescent="0.3">
      <c r="A19" s="185" t="str">
        <f t="shared" si="0"/>
        <v>Co-PI 4:</v>
      </c>
      <c r="B19" s="411">
        <f t="shared" si="1"/>
        <v>0</v>
      </c>
      <c r="C19" s="411">
        <f t="shared" si="1"/>
        <v>0</v>
      </c>
      <c r="D19" s="185">
        <f t="shared" si="1"/>
        <v>9</v>
      </c>
      <c r="E19" s="299"/>
      <c r="F19" s="299"/>
      <c r="G19" s="299"/>
      <c r="H19" s="299"/>
      <c r="I19" s="299"/>
    </row>
    <row r="20" spans="1:9" ht="14.25" customHeight="1" x14ac:dyDescent="0.3">
      <c r="A20" s="185" t="str">
        <f t="shared" si="0"/>
        <v>Co-PI 5:</v>
      </c>
      <c r="B20" s="411">
        <f t="shared" si="1"/>
        <v>0</v>
      </c>
      <c r="C20" s="411">
        <f t="shared" si="1"/>
        <v>0</v>
      </c>
      <c r="D20" s="185">
        <f t="shared" si="1"/>
        <v>9</v>
      </c>
      <c r="E20" s="299"/>
      <c r="F20" s="299"/>
      <c r="G20" s="299"/>
      <c r="H20" s="299"/>
      <c r="I20" s="299"/>
    </row>
    <row r="21" spans="1:9" ht="14.25" customHeight="1" x14ac:dyDescent="0.3">
      <c r="A21" s="186" t="s">
        <v>328</v>
      </c>
      <c r="B21" s="412"/>
    </row>
    <row r="22" spans="1:9" ht="14.25" customHeight="1" x14ac:dyDescent="0.3">
      <c r="A22" s="299" t="s">
        <v>329</v>
      </c>
      <c r="B22" s="409"/>
      <c r="C22" s="409"/>
      <c r="D22" s="299">
        <v>12</v>
      </c>
      <c r="E22" s="299"/>
      <c r="F22" s="299"/>
      <c r="G22" s="299"/>
      <c r="H22" s="299"/>
      <c r="I22" s="299"/>
    </row>
    <row r="23" spans="1:9" ht="14.25" customHeight="1" x14ac:dyDescent="0.3">
      <c r="A23" s="299" t="s">
        <v>235</v>
      </c>
      <c r="B23" s="409"/>
      <c r="C23" s="409"/>
      <c r="D23" s="299">
        <v>12</v>
      </c>
      <c r="E23" s="299"/>
      <c r="F23" s="299"/>
      <c r="G23" s="299"/>
      <c r="H23" s="299"/>
      <c r="I23" s="299"/>
    </row>
    <row r="24" spans="1:9" ht="14.25" customHeight="1" x14ac:dyDescent="0.3">
      <c r="A24" s="299" t="s">
        <v>236</v>
      </c>
      <c r="B24" s="409"/>
      <c r="C24" s="409"/>
      <c r="D24" s="299">
        <v>12</v>
      </c>
      <c r="E24" s="299"/>
      <c r="F24" s="299"/>
      <c r="G24" s="299"/>
      <c r="H24" s="299"/>
      <c r="I24" s="299"/>
    </row>
    <row r="25" spans="1:9" ht="14.25" customHeight="1" x14ac:dyDescent="0.3">
      <c r="A25" s="299" t="s">
        <v>237</v>
      </c>
      <c r="B25" s="409"/>
      <c r="C25" s="409"/>
      <c r="D25" s="299">
        <v>12</v>
      </c>
      <c r="E25" s="299"/>
      <c r="F25" s="299"/>
      <c r="G25" s="299"/>
      <c r="H25" s="300"/>
      <c r="I25" s="299"/>
    </row>
    <row r="26" spans="1:9" ht="14.25" customHeight="1" x14ac:dyDescent="0.3">
      <c r="A26" s="299" t="s">
        <v>238</v>
      </c>
      <c r="B26" s="409"/>
      <c r="C26" s="409"/>
      <c r="D26" s="299">
        <v>12</v>
      </c>
      <c r="E26" s="299"/>
      <c r="F26" s="299"/>
      <c r="G26" s="299"/>
      <c r="H26" s="301"/>
      <c r="I26" s="299"/>
    </row>
    <row r="27" spans="1:9" ht="14.25" customHeight="1" x14ac:dyDescent="0.3">
      <c r="A27" s="299" t="s">
        <v>34</v>
      </c>
      <c r="B27" s="409"/>
      <c r="C27" s="409"/>
      <c r="D27" s="299">
        <v>12</v>
      </c>
      <c r="E27" s="299"/>
      <c r="F27" s="299"/>
      <c r="G27" s="299"/>
      <c r="H27" s="299"/>
      <c r="I27" s="299"/>
    </row>
    <row r="28" spans="1:9" ht="14.25" customHeight="1" x14ac:dyDescent="0.3">
      <c r="A28" s="299" t="s">
        <v>35</v>
      </c>
      <c r="B28" s="409"/>
      <c r="C28" s="409"/>
      <c r="D28" s="299">
        <v>12</v>
      </c>
      <c r="E28" s="299"/>
      <c r="F28" s="299"/>
      <c r="G28" s="299"/>
      <c r="H28" s="299"/>
      <c r="I28" s="299"/>
    </row>
    <row r="29" spans="1:9" ht="14.25" customHeight="1" x14ac:dyDescent="0.3">
      <c r="A29" s="299" t="s">
        <v>68</v>
      </c>
      <c r="B29" s="409"/>
      <c r="C29" s="409"/>
      <c r="D29" s="299">
        <v>12</v>
      </c>
      <c r="E29" s="299"/>
      <c r="F29" s="299"/>
      <c r="G29" s="299"/>
      <c r="H29" s="299"/>
      <c r="I29" s="299"/>
    </row>
    <row r="30" spans="1:9" ht="14.25" customHeight="1" x14ac:dyDescent="0.3">
      <c r="A30" s="186" t="s">
        <v>344</v>
      </c>
      <c r="B30" s="75"/>
      <c r="C30" s="75"/>
      <c r="D30" s="75"/>
      <c r="E30" s="75"/>
      <c r="F30" s="75"/>
      <c r="G30" s="75"/>
      <c r="H30" s="75"/>
      <c r="I30" s="75"/>
    </row>
    <row r="31" spans="1:9" ht="14.25" customHeight="1" x14ac:dyDescent="0.3">
      <c r="A31" s="299" t="s">
        <v>338</v>
      </c>
      <c r="B31" s="409"/>
      <c r="C31" s="409"/>
      <c r="D31" s="299">
        <v>9</v>
      </c>
      <c r="E31" s="299"/>
      <c r="F31" s="299"/>
      <c r="G31" s="299"/>
      <c r="H31" s="299"/>
      <c r="I31" s="299"/>
    </row>
    <row r="32" spans="1:9" ht="14.25" customHeight="1" x14ac:dyDescent="0.3">
      <c r="A32" s="299" t="s">
        <v>339</v>
      </c>
      <c r="B32" s="409"/>
      <c r="C32" s="409"/>
      <c r="D32" s="299">
        <v>9</v>
      </c>
      <c r="E32" s="299"/>
      <c r="F32" s="299"/>
      <c r="G32" s="299"/>
      <c r="H32" s="299"/>
      <c r="I32" s="299"/>
    </row>
    <row r="33" spans="1:9" ht="14.25" customHeight="1" x14ac:dyDescent="0.3">
      <c r="A33" s="299" t="s">
        <v>340</v>
      </c>
      <c r="B33" s="409"/>
      <c r="C33" s="409"/>
      <c r="D33" s="299">
        <v>9</v>
      </c>
      <c r="E33" s="299"/>
      <c r="F33" s="299"/>
      <c r="G33" s="299"/>
      <c r="H33" s="299"/>
      <c r="I33" s="299"/>
    </row>
    <row r="34" spans="1:9" ht="14.25" customHeight="1" x14ac:dyDescent="0.3">
      <c r="A34" s="299" t="s">
        <v>341</v>
      </c>
      <c r="B34" s="409"/>
      <c r="C34" s="409"/>
      <c r="D34" s="299">
        <v>9</v>
      </c>
      <c r="E34" s="299"/>
      <c r="F34" s="299"/>
      <c r="G34" s="299"/>
      <c r="H34" s="300"/>
      <c r="I34" s="299"/>
    </row>
    <row r="35" spans="1:9" ht="14.25" customHeight="1" x14ac:dyDescent="0.3">
      <c r="A35" s="299" t="s">
        <v>342</v>
      </c>
      <c r="B35" s="409"/>
      <c r="C35" s="409"/>
      <c r="D35" s="299">
        <v>9</v>
      </c>
      <c r="E35" s="299"/>
      <c r="F35" s="299"/>
      <c r="G35" s="299"/>
      <c r="H35" s="299"/>
      <c r="I35" s="299"/>
    </row>
    <row r="36" spans="1:9" ht="14.25" customHeight="1" x14ac:dyDescent="0.3">
      <c r="A36" s="458"/>
      <c r="B36" s="492"/>
      <c r="C36" s="492"/>
      <c r="D36" s="458"/>
      <c r="E36" s="458"/>
      <c r="F36" s="458"/>
      <c r="G36" s="458"/>
      <c r="H36" s="458"/>
      <c r="I36" s="458"/>
    </row>
    <row r="37" spans="1:9" ht="14.25" customHeight="1" x14ac:dyDescent="0.3">
      <c r="A37" s="75"/>
      <c r="B37" s="567" t="s">
        <v>252</v>
      </c>
      <c r="C37" s="568"/>
      <c r="D37" s="568"/>
      <c r="E37" s="568"/>
      <c r="F37" s="569"/>
      <c r="G37" s="75"/>
      <c r="H37" s="75"/>
      <c r="I37" s="75"/>
    </row>
    <row r="38" spans="1:9" ht="14.25" customHeight="1" x14ac:dyDescent="0.3">
      <c r="A38" s="167" t="s">
        <v>211</v>
      </c>
      <c r="B38" s="372" t="s">
        <v>2</v>
      </c>
      <c r="C38" s="372" t="s">
        <v>3</v>
      </c>
      <c r="D38" s="372" t="s">
        <v>4</v>
      </c>
      <c r="E38" s="372" t="s">
        <v>5</v>
      </c>
      <c r="F38" s="372" t="s">
        <v>6</v>
      </c>
    </row>
    <row r="39" spans="1:9" ht="14.25" customHeight="1" x14ac:dyDescent="0.3">
      <c r="A39" s="299" t="s">
        <v>78</v>
      </c>
      <c r="B39" s="409"/>
      <c r="C39" s="409"/>
      <c r="D39" s="409"/>
      <c r="E39" s="409"/>
      <c r="F39" s="409"/>
    </row>
    <row r="40" spans="1:9" ht="14.25" customHeight="1" x14ac:dyDescent="0.3">
      <c r="A40" s="299" t="s">
        <v>79</v>
      </c>
      <c r="B40" s="409"/>
      <c r="C40" s="409"/>
      <c r="D40" s="409"/>
      <c r="E40" s="409"/>
      <c r="F40" s="409"/>
      <c r="G40" s="420"/>
    </row>
    <row r="41" spans="1:9" ht="14.25" customHeight="1" x14ac:dyDescent="0.3">
      <c r="A41" s="299" t="s">
        <v>80</v>
      </c>
      <c r="B41" s="409"/>
      <c r="C41" s="409"/>
      <c r="D41" s="409"/>
      <c r="E41" s="409"/>
      <c r="F41" s="409"/>
      <c r="G41" s="421"/>
    </row>
    <row r="42" spans="1:9" ht="14.25" customHeight="1" x14ac:dyDescent="0.3">
      <c r="A42" s="299" t="s">
        <v>81</v>
      </c>
      <c r="B42" s="423"/>
      <c r="C42" s="423"/>
      <c r="D42" s="423"/>
      <c r="E42" s="423"/>
      <c r="F42" s="423"/>
      <c r="G42" s="422"/>
    </row>
    <row r="43" spans="1:9" ht="17.149999999999999" customHeight="1" x14ac:dyDescent="0.3">
      <c r="A43" s="75"/>
      <c r="B43" s="75"/>
      <c r="C43" s="75"/>
      <c r="D43" s="175" t="s">
        <v>265</v>
      </c>
      <c r="E43" s="75"/>
      <c r="F43" s="75"/>
      <c r="G43" s="75"/>
      <c r="H43" s="75"/>
      <c r="I43" s="75"/>
    </row>
    <row r="44" spans="1:9" ht="14.25" customHeight="1" x14ac:dyDescent="0.3">
      <c r="A44" s="299" t="s">
        <v>78</v>
      </c>
      <c r="B44" s="449"/>
      <c r="C44" s="449"/>
      <c r="D44" s="449"/>
      <c r="E44" s="449"/>
      <c r="F44" s="449"/>
      <c r="G44" s="75"/>
      <c r="H44" s="75"/>
      <c r="I44" s="75"/>
    </row>
    <row r="45" spans="1:9" ht="14.25" customHeight="1" x14ac:dyDescent="0.3">
      <c r="A45" s="299" t="s">
        <v>79</v>
      </c>
      <c r="B45" s="449"/>
      <c r="C45" s="449"/>
      <c r="D45" s="449"/>
      <c r="E45" s="449"/>
      <c r="F45" s="449"/>
      <c r="G45" s="75"/>
      <c r="H45" s="75"/>
      <c r="I45" s="75"/>
    </row>
    <row r="46" spans="1:9" ht="14.25" customHeight="1" x14ac:dyDescent="0.3">
      <c r="A46" s="299" t="s">
        <v>80</v>
      </c>
      <c r="B46" s="449"/>
      <c r="C46" s="449"/>
      <c r="D46" s="449"/>
      <c r="E46" s="449"/>
      <c r="F46" s="449"/>
      <c r="G46" s="75"/>
      <c r="H46" s="75"/>
      <c r="I46" s="75"/>
    </row>
    <row r="47" spans="1:9" ht="14.25" customHeight="1" x14ac:dyDescent="0.3">
      <c r="A47" s="299" t="s">
        <v>81</v>
      </c>
      <c r="B47" s="302"/>
      <c r="C47" s="302"/>
      <c r="D47" s="302"/>
      <c r="E47" s="302"/>
      <c r="F47" s="302"/>
      <c r="G47" s="75"/>
      <c r="H47" s="75"/>
      <c r="I47" s="75"/>
    </row>
    <row r="48" spans="1:9" ht="14.25" customHeight="1" thickBot="1" x14ac:dyDescent="0.35">
      <c r="A48" s="75"/>
      <c r="B48" s="75"/>
      <c r="C48" s="75"/>
      <c r="D48" s="75"/>
      <c r="E48" s="75"/>
      <c r="F48" s="75"/>
      <c r="G48" s="75"/>
      <c r="H48" s="75"/>
      <c r="I48" s="75"/>
    </row>
    <row r="49" spans="1:9" ht="14.25" customHeight="1" thickBot="1" x14ac:dyDescent="0.35">
      <c r="A49" s="75"/>
      <c r="B49" s="75"/>
      <c r="C49" s="187"/>
      <c r="D49" s="188"/>
      <c r="E49" s="565" t="s">
        <v>36</v>
      </c>
      <c r="F49" s="566"/>
      <c r="G49" s="566"/>
      <c r="H49" s="566"/>
      <c r="I49" s="566"/>
    </row>
    <row r="50" spans="1:9" ht="27" customHeight="1" thickBot="1" x14ac:dyDescent="0.35">
      <c r="A50" s="175" t="s">
        <v>295</v>
      </c>
      <c r="B50" s="288"/>
      <c r="C50" s="189" t="s">
        <v>37</v>
      </c>
      <c r="D50" s="190" t="s">
        <v>38</v>
      </c>
      <c r="E50" s="191" t="s">
        <v>2</v>
      </c>
      <c r="F50" s="191" t="s">
        <v>3</v>
      </c>
      <c r="G50" s="191" t="s">
        <v>4</v>
      </c>
      <c r="H50" s="191" t="s">
        <v>5</v>
      </c>
      <c r="I50" s="191" t="s">
        <v>6</v>
      </c>
    </row>
    <row r="51" spans="1:9" ht="14.25" customHeight="1" x14ac:dyDescent="0.3">
      <c r="A51" s="234" t="s">
        <v>296</v>
      </c>
      <c r="B51" s="234"/>
      <c r="C51" s="303"/>
      <c r="D51" s="303"/>
      <c r="E51" s="303"/>
      <c r="F51" s="303"/>
      <c r="G51" s="303"/>
      <c r="H51" s="303"/>
      <c r="I51" s="303"/>
    </row>
    <row r="52" spans="1:9" ht="14.25" customHeight="1" x14ac:dyDescent="0.3">
      <c r="A52" s="185" t="s">
        <v>297</v>
      </c>
      <c r="B52" s="185"/>
      <c r="C52" s="299"/>
      <c r="D52" s="299"/>
      <c r="E52" s="299"/>
      <c r="F52" s="299"/>
      <c r="G52" s="299"/>
      <c r="H52" s="299"/>
      <c r="I52" s="299"/>
    </row>
    <row r="53" spans="1:9" ht="14.25" customHeight="1" x14ac:dyDescent="0.3">
      <c r="A53" s="185" t="s">
        <v>298</v>
      </c>
      <c r="B53" s="185"/>
      <c r="C53" s="299"/>
      <c r="D53" s="299"/>
      <c r="E53" s="299"/>
      <c r="F53" s="299"/>
      <c r="G53" s="299"/>
      <c r="H53" s="299"/>
      <c r="I53" s="299"/>
    </row>
    <row r="54" spans="1:9" ht="14.25" customHeight="1" x14ac:dyDescent="0.3">
      <c r="A54" s="185" t="s">
        <v>299</v>
      </c>
      <c r="B54" s="185"/>
      <c r="C54" s="299"/>
      <c r="D54" s="299"/>
      <c r="E54" s="299"/>
      <c r="F54" s="299"/>
      <c r="G54" s="299"/>
      <c r="H54" s="299"/>
      <c r="I54" s="299"/>
    </row>
    <row r="55" spans="1:9" ht="14.25" customHeight="1" x14ac:dyDescent="0.3">
      <c r="A55" s="185" t="s">
        <v>300</v>
      </c>
      <c r="B55" s="185"/>
      <c r="C55" s="299"/>
      <c r="D55" s="299"/>
      <c r="E55" s="299"/>
      <c r="F55" s="299"/>
      <c r="G55" s="299"/>
      <c r="H55" s="299"/>
      <c r="I55" s="299"/>
    </row>
    <row r="56" spans="1:9" ht="15" customHeight="1" thickBot="1" x14ac:dyDescent="0.35"/>
    <row r="57" spans="1:9" ht="15" customHeight="1" thickBot="1" x14ac:dyDescent="0.35">
      <c r="B57" s="187"/>
      <c r="C57" s="287"/>
      <c r="D57" s="188"/>
      <c r="E57" s="565" t="s">
        <v>36</v>
      </c>
      <c r="F57" s="566"/>
      <c r="G57" s="566"/>
      <c r="H57" s="566"/>
      <c r="I57" s="566"/>
    </row>
    <row r="58" spans="1:9" ht="28.5" customHeight="1" thickBot="1" x14ac:dyDescent="0.35">
      <c r="A58" s="167" t="s">
        <v>189</v>
      </c>
      <c r="B58" s="189" t="s">
        <v>195</v>
      </c>
      <c r="C58" s="189" t="s">
        <v>37</v>
      </c>
      <c r="D58" s="190" t="s">
        <v>38</v>
      </c>
      <c r="E58" s="191" t="s">
        <v>2</v>
      </c>
      <c r="F58" s="191" t="s">
        <v>3</v>
      </c>
      <c r="G58" s="191" t="s">
        <v>4</v>
      </c>
      <c r="H58" s="191" t="s">
        <v>5</v>
      </c>
      <c r="I58" s="191" t="s">
        <v>6</v>
      </c>
    </row>
    <row r="59" spans="1:9" ht="14.25" customHeight="1" x14ac:dyDescent="0.3">
      <c r="A59" s="234" t="str">
        <f>B59 &amp; " Student(s)"</f>
        <v xml:space="preserve"> Student(s)</v>
      </c>
      <c r="B59" s="304"/>
      <c r="C59" s="303"/>
      <c r="D59" s="303"/>
      <c r="E59" s="303"/>
      <c r="F59" s="303"/>
      <c r="G59" s="303"/>
      <c r="H59" s="303"/>
      <c r="I59" s="303"/>
    </row>
    <row r="60" spans="1:9" ht="14.25" customHeight="1" x14ac:dyDescent="0.3">
      <c r="A60" s="185" t="str">
        <f>B60 &amp; " Student(s)"</f>
        <v xml:space="preserve"> Student(s)</v>
      </c>
      <c r="B60" s="302"/>
      <c r="C60" s="299"/>
      <c r="D60" s="299"/>
      <c r="E60" s="299"/>
      <c r="F60" s="299"/>
      <c r="G60" s="299"/>
      <c r="H60" s="299"/>
      <c r="I60" s="299"/>
    </row>
    <row r="61" spans="1:9" ht="14.25" customHeight="1" x14ac:dyDescent="0.3">
      <c r="A61" s="185" t="str">
        <f>B61 &amp; " Student(s)"</f>
        <v xml:space="preserve"> Student(s)</v>
      </c>
      <c r="B61" s="302"/>
      <c r="C61" s="299"/>
      <c r="D61" s="299"/>
      <c r="E61" s="299"/>
      <c r="F61" s="299"/>
      <c r="G61" s="299"/>
      <c r="H61" s="299"/>
      <c r="I61" s="299"/>
    </row>
    <row r="62" spans="1:9" ht="15" customHeight="1" x14ac:dyDescent="0.3">
      <c r="A62" s="185" t="str">
        <f>B62 &amp; " Student(s)"</f>
        <v xml:space="preserve"> Student(s)</v>
      </c>
      <c r="B62" s="302"/>
      <c r="C62" s="299"/>
      <c r="D62" s="299"/>
      <c r="E62" s="299"/>
      <c r="F62" s="299"/>
      <c r="G62" s="299"/>
      <c r="H62" s="299"/>
      <c r="I62" s="299"/>
    </row>
    <row r="63" spans="1:9" ht="15" customHeight="1" x14ac:dyDescent="0.3">
      <c r="A63" s="185" t="str">
        <f>B63 &amp; " Student(s)"</f>
        <v xml:space="preserve"> Student(s)</v>
      </c>
      <c r="B63" s="302"/>
      <c r="C63" s="299"/>
      <c r="D63" s="299"/>
      <c r="E63" s="299"/>
      <c r="F63" s="299"/>
      <c r="G63" s="299"/>
      <c r="H63" s="299"/>
      <c r="I63" s="299"/>
    </row>
    <row r="64" spans="1:9" ht="14.25" customHeight="1" x14ac:dyDescent="0.3"/>
    <row r="65" spans="1:7" ht="14.25" customHeight="1" x14ac:dyDescent="0.3">
      <c r="A65" s="156" t="s">
        <v>39</v>
      </c>
    </row>
    <row r="66" spans="1:7" ht="14.25" customHeight="1" x14ac:dyDescent="0.3">
      <c r="A66" s="192" t="s">
        <v>40</v>
      </c>
      <c r="B66" s="192"/>
    </row>
    <row r="67" spans="1:7" ht="14.25" customHeight="1" x14ac:dyDescent="0.3">
      <c r="A67" s="192"/>
      <c r="B67" s="192"/>
      <c r="C67" s="368"/>
      <c r="G67" s="368"/>
    </row>
    <row r="68" spans="1:7" ht="14.25" customHeight="1" x14ac:dyDescent="0.3">
      <c r="A68" s="156" t="s">
        <v>218</v>
      </c>
      <c r="B68" s="192"/>
      <c r="C68" s="368"/>
      <c r="G68" s="368"/>
    </row>
    <row r="69" spans="1:7" ht="14.25" customHeight="1" x14ac:dyDescent="0.3">
      <c r="A69" s="374" t="s">
        <v>281</v>
      </c>
      <c r="B69" s="192"/>
      <c r="C69" s="374"/>
      <c r="G69" s="374"/>
    </row>
    <row r="70" spans="1:7" ht="14.25" customHeight="1" x14ac:dyDescent="0.3">
      <c r="A70" s="368"/>
      <c r="B70" s="192"/>
      <c r="C70" s="368"/>
      <c r="G70" s="368"/>
    </row>
    <row r="71" spans="1:7" ht="14.25" customHeight="1" x14ac:dyDescent="0.3">
      <c r="A71" s="156" t="s">
        <v>219</v>
      </c>
      <c r="B71" s="192"/>
      <c r="C71" s="368"/>
      <c r="G71" s="368"/>
    </row>
    <row r="72" spans="1:7" ht="14.25" customHeight="1" x14ac:dyDescent="0.3">
      <c r="A72" s="374" t="s">
        <v>220</v>
      </c>
    </row>
    <row r="73" spans="1:7" ht="14.25" customHeight="1" x14ac:dyDescent="0.3"/>
    <row r="74" spans="1:7" ht="14.25" hidden="1" customHeight="1" outlineLevel="1" x14ac:dyDescent="0.3">
      <c r="A74" s="156" t="s">
        <v>197</v>
      </c>
      <c r="B74" s="168" t="s">
        <v>202</v>
      </c>
      <c r="C74" s="168" t="s">
        <v>199</v>
      </c>
      <c r="D74" s="168" t="s">
        <v>198</v>
      </c>
      <c r="E74" s="168" t="s">
        <v>200</v>
      </c>
    </row>
    <row r="75" spans="1:7" ht="14.25" hidden="1" customHeight="1" outlineLevel="1" x14ac:dyDescent="0.3">
      <c r="A75" s="168" t="s">
        <v>2</v>
      </c>
      <c r="B75" s="168">
        <f>COUNTIF(E27:E29,"&gt;0")</f>
        <v>0</v>
      </c>
      <c r="C75" s="169">
        <f>SUM(E27:E29)</f>
        <v>0</v>
      </c>
      <c r="D75" s="173">
        <f>SUM('Main Budget'!B32:B34)</f>
        <v>0</v>
      </c>
      <c r="E75" s="173">
        <f>Instruction!$E$6*Salary!D75</f>
        <v>0</v>
      </c>
    </row>
    <row r="76" spans="1:7" ht="14.25" hidden="1" customHeight="1" outlineLevel="1" x14ac:dyDescent="0.3">
      <c r="A76" s="168" t="s">
        <v>3</v>
      </c>
      <c r="B76" s="168">
        <f>COUNTIF(F27:F29,"&gt;0")</f>
        <v>0</v>
      </c>
      <c r="C76" s="169">
        <f>SUM(F27:F29)</f>
        <v>0</v>
      </c>
      <c r="D76" s="173">
        <f>SUM('Main Budget'!C32:C34)</f>
        <v>0</v>
      </c>
      <c r="E76" s="173">
        <f>Instruction!$E$9*Salary!D76</f>
        <v>0</v>
      </c>
    </row>
    <row r="77" spans="1:7" ht="14.25" hidden="1" customHeight="1" outlineLevel="1" x14ac:dyDescent="0.3">
      <c r="A77" s="168" t="s">
        <v>4</v>
      </c>
      <c r="B77" s="168">
        <f>COUNTIF(G27:G29,"&gt;0")</f>
        <v>0</v>
      </c>
      <c r="C77" s="169">
        <f>SUM(G27:G29)</f>
        <v>0</v>
      </c>
      <c r="D77" s="173">
        <f>SUM('Main Budget'!D32:D34)</f>
        <v>0</v>
      </c>
      <c r="E77" s="173">
        <f>Instruction!$E$9*Salary!D77</f>
        <v>0</v>
      </c>
    </row>
    <row r="78" spans="1:7" ht="14.25" hidden="1" customHeight="1" outlineLevel="1" x14ac:dyDescent="0.3">
      <c r="A78" s="168" t="s">
        <v>5</v>
      </c>
      <c r="B78" s="168">
        <f>COUNTIF(H27:H29,"&gt;0")</f>
        <v>0</v>
      </c>
      <c r="C78" s="169">
        <f>SUM(H27:H29)</f>
        <v>0</v>
      </c>
      <c r="D78" s="173">
        <f>SUM('Main Budget'!E32:E34)</f>
        <v>0</v>
      </c>
      <c r="E78" s="173">
        <f>Instruction!$E$9*Salary!D78</f>
        <v>0</v>
      </c>
    </row>
    <row r="79" spans="1:7" ht="14.25" hidden="1" customHeight="1" outlineLevel="1" x14ac:dyDescent="0.3">
      <c r="A79" s="168" t="s">
        <v>6</v>
      </c>
      <c r="B79" s="168">
        <f>COUNTIF(I27:I29,"&gt;0")</f>
        <v>0</v>
      </c>
      <c r="C79" s="169">
        <f>SUM(I27:I29)</f>
        <v>0</v>
      </c>
      <c r="D79" s="173">
        <f>SUM('Main Budget'!F32:F34)</f>
        <v>0</v>
      </c>
      <c r="E79" s="173">
        <f>Instruction!$E$9*Salary!D79</f>
        <v>0</v>
      </c>
    </row>
    <row r="80" spans="1:7" ht="14.25" hidden="1" customHeight="1" outlineLevel="1" x14ac:dyDescent="0.3"/>
    <row r="81" spans="1:5" ht="14.25" hidden="1" customHeight="1" outlineLevel="1" x14ac:dyDescent="0.3">
      <c r="A81" s="156" t="s">
        <v>217</v>
      </c>
      <c r="B81" s="168" t="s">
        <v>195</v>
      </c>
      <c r="C81" s="168" t="s">
        <v>199</v>
      </c>
      <c r="D81" s="168" t="s">
        <v>198</v>
      </c>
      <c r="E81" s="168" t="s">
        <v>200</v>
      </c>
    </row>
    <row r="82" spans="1:5" ht="14.25" hidden="1" customHeight="1" outlineLevel="1" x14ac:dyDescent="0.3">
      <c r="A82" s="168" t="s">
        <v>2</v>
      </c>
      <c r="B82" s="168">
        <f>COUNTIF(B39:B42,"&gt;0")+COUNTIF(E51:E55,"&gt;0")</f>
        <v>0</v>
      </c>
      <c r="C82" s="169">
        <f>SUM(B44:B47)+($D$51*E51+$D$52*E52+$D$53*E53+$D$54*E54+$D$55*E55)*12/2080</f>
        <v>0</v>
      </c>
      <c r="D82" s="173">
        <f>SUM('Main Budget'!B40:B44)</f>
        <v>0</v>
      </c>
      <c r="E82" s="171">
        <v>0</v>
      </c>
    </row>
    <row r="83" spans="1:5" ht="14.25" hidden="1" customHeight="1" outlineLevel="1" x14ac:dyDescent="0.3">
      <c r="A83" s="168" t="s">
        <v>3</v>
      </c>
      <c r="B83" s="168">
        <f>COUNTIF(C39:C42,"&gt;0")+COUNTIF(F51:F55,"&gt;0")</f>
        <v>0</v>
      </c>
      <c r="C83" s="169">
        <f>SUM(C44:C47)+($D$51*F51+$D$52*F52+$D$53*F53+$D$54*F54+$D$55*F55)*12/2080</f>
        <v>0</v>
      </c>
      <c r="D83" s="173">
        <f>SUM('Main Budget'!C40:C44)</f>
        <v>0</v>
      </c>
      <c r="E83" s="171">
        <v>0</v>
      </c>
    </row>
    <row r="84" spans="1:5" ht="14.25" hidden="1" customHeight="1" outlineLevel="1" x14ac:dyDescent="0.3">
      <c r="A84" s="168" t="s">
        <v>4</v>
      </c>
      <c r="B84" s="168">
        <f>COUNTIF(D39:D42,"&gt;0")+COUNTIF(G51:G55,"&gt;0")</f>
        <v>0</v>
      </c>
      <c r="C84" s="169">
        <f>SUM(D44:D47)+($D$51*G51+$D$52*G52+$D$53*G53+$D$54*G54+$D$55*G55)*12/2080</f>
        <v>0</v>
      </c>
      <c r="D84" s="173">
        <f>SUM('Main Budget'!D40:D44)</f>
        <v>0</v>
      </c>
      <c r="E84" s="171">
        <v>0</v>
      </c>
    </row>
    <row r="85" spans="1:5" ht="14.25" hidden="1" customHeight="1" outlineLevel="1" x14ac:dyDescent="0.3">
      <c r="A85" s="168" t="s">
        <v>5</v>
      </c>
      <c r="B85" s="168">
        <f>COUNTIF(E39:E42,"&gt;0")+COUNTIF(H51:H55,"&gt;0")</f>
        <v>0</v>
      </c>
      <c r="C85" s="169">
        <f>SUM(E44:E47)+($D$51*H51+$D$52*H52+$D$53*H53+$D$54*H54+$D$55*H55)*12/2080</f>
        <v>0</v>
      </c>
      <c r="D85" s="173">
        <f>SUM('Main Budget'!E40:E44)</f>
        <v>0</v>
      </c>
      <c r="E85" s="171">
        <v>0</v>
      </c>
    </row>
    <row r="86" spans="1:5" ht="14.25" hidden="1" customHeight="1" outlineLevel="1" x14ac:dyDescent="0.3">
      <c r="A86" s="168" t="s">
        <v>6</v>
      </c>
      <c r="B86" s="168">
        <f>COUNTIF(F39:F42,"&gt;0")+COUNTIF(I51:I55,"&gt;0")</f>
        <v>0</v>
      </c>
      <c r="C86" s="169">
        <f>SUM(F44:F47)+($D$51*I51+$D$52*I52+$D$53*I53+$D$54*I54+$D$55*I55)*12/2080</f>
        <v>0</v>
      </c>
      <c r="D86" s="173">
        <f>SUM('Main Budget'!F40:F44)</f>
        <v>0</v>
      </c>
      <c r="E86" s="171">
        <v>0</v>
      </c>
    </row>
    <row r="87" spans="1:5" ht="14.25" hidden="1" customHeight="1" outlineLevel="1" x14ac:dyDescent="0.3"/>
    <row r="88" spans="1:5" ht="14.25" hidden="1" customHeight="1" outlineLevel="1" x14ac:dyDescent="0.3">
      <c r="A88" s="156" t="s">
        <v>196</v>
      </c>
      <c r="B88" s="156" t="s">
        <v>195</v>
      </c>
      <c r="C88" s="168" t="s">
        <v>199</v>
      </c>
      <c r="D88" s="168" t="s">
        <v>198</v>
      </c>
      <c r="E88" s="168" t="s">
        <v>200</v>
      </c>
    </row>
    <row r="89" spans="1:5" ht="14.25" hidden="1" customHeight="1" outlineLevel="1" x14ac:dyDescent="0.3">
      <c r="A89" s="168" t="s">
        <v>2</v>
      </c>
      <c r="B89" s="168">
        <f>B59*COUNTIF(E59,"&gt;0")+B60*COUNTIF(E60,"&gt;0")+B61*COUNTIF(E61,"&gt;0")+B62*COUNTIF(E62,"&gt;0")+B63*COUNTIF(E63,"&gt;0")</f>
        <v>0</v>
      </c>
      <c r="C89" s="169">
        <f>($B$59*$D$59*E59+$B$60*$D$60*E60+$B$61*$D$61*E61+$B$62*$D$62*E62+$B$63*$D$63*E63)*12/2080</f>
        <v>0</v>
      </c>
      <c r="D89" s="193">
        <f>'Main Budget'!B45</f>
        <v>0</v>
      </c>
      <c r="E89" s="168">
        <v>0</v>
      </c>
    </row>
    <row r="90" spans="1:5" ht="14.25" hidden="1" customHeight="1" outlineLevel="1" x14ac:dyDescent="0.3">
      <c r="A90" s="168" t="s">
        <v>3</v>
      </c>
      <c r="B90" s="168">
        <f>$B$59*COUNTIF(F59,"&gt;0")+$B$60*COUNTIF(F60,"&gt;0")+$B$61*COUNTIF(F61,"&gt;0")+$B$62*COUNTIF(F62,"&gt;0")+$B$63*COUNTIF(F63,"&gt;0")</f>
        <v>0</v>
      </c>
      <c r="C90" s="169">
        <f>($B$59*$D$59*F59+$B$60*$D$60*F60+$B$61*$D$61*F61+$B$62*$D$62*F62+$B$63*$D$63*F63)*12/2080</f>
        <v>0</v>
      </c>
      <c r="D90" s="193">
        <f>'Main Budget'!C45</f>
        <v>0</v>
      </c>
      <c r="E90" s="168">
        <v>0</v>
      </c>
    </row>
    <row r="91" spans="1:5" ht="14.25" hidden="1" customHeight="1" outlineLevel="1" x14ac:dyDescent="0.3">
      <c r="A91" s="168" t="s">
        <v>4</v>
      </c>
      <c r="B91" s="168">
        <f>$B$59*COUNTIF(G59,"&gt;0")+$B$60*COUNTIF(G60,"&gt;0")+$B$61*COUNTIF(G61,"&gt;0")+$B$62*COUNTIF(G62,"&gt;0")+$B$63*COUNTIF(G63,"&gt;0")</f>
        <v>0</v>
      </c>
      <c r="C91" s="169">
        <f>($B$59*$D$59*G59+$B$60*$D$60*G60+$B$61*$D$61*G61+$B$62*$D$62*G62+$B$63*$D$63*G63)*12/2080</f>
        <v>0</v>
      </c>
      <c r="D91" s="193">
        <f>'Main Budget'!D45</f>
        <v>0</v>
      </c>
      <c r="E91" s="168">
        <v>0</v>
      </c>
    </row>
    <row r="92" spans="1:5" ht="14.25" hidden="1" customHeight="1" outlineLevel="1" x14ac:dyDescent="0.3">
      <c r="A92" s="168" t="s">
        <v>5</v>
      </c>
      <c r="B92" s="168">
        <f>$B$59*COUNTIF(H59,"&gt;0")+$B$60*COUNTIF(H60,"&gt;0")+$B$61*COUNTIF(H61,"&gt;0")+$B$62*COUNTIF(H62,"&gt;0")+$B$63*COUNTIF(H63,"&gt;0")</f>
        <v>0</v>
      </c>
      <c r="C92" s="169">
        <f>($B$59*$D$59*H59+$B$60*$D$60*H60+$B$61*$D$61*H61+$B$62*$D$62*H62+$B$63*$D$63*H63)*12/2080</f>
        <v>0</v>
      </c>
      <c r="D92" s="193">
        <f>'Main Budget'!E45</f>
        <v>0</v>
      </c>
      <c r="E92" s="168">
        <v>0</v>
      </c>
    </row>
    <row r="93" spans="1:5" ht="14.25" hidden="1" customHeight="1" outlineLevel="1" x14ac:dyDescent="0.3">
      <c r="A93" s="168" t="s">
        <v>6</v>
      </c>
      <c r="B93" s="168">
        <f>$B$59*COUNTIF(I59,"&gt;0")+$B$60*COUNTIF(I60,"&gt;0")+$B$61*COUNTIF(I61,"&gt;0")+$B$62*COUNTIF(I62,"&gt;0")+$B$63*COUNTIF(I63,"&gt;0")</f>
        <v>0</v>
      </c>
      <c r="C93" s="169">
        <f>($B$59*$D$59*I59+$B$60*$D$60*I60+$B$61*$D$61*I61+$B$62*$D$62*I62+$B$63*$D$63*I63)*12/2080</f>
        <v>0</v>
      </c>
      <c r="D93" s="193">
        <f>'Main Budget'!F45</f>
        <v>0</v>
      </c>
      <c r="E93" s="168">
        <v>0</v>
      </c>
    </row>
    <row r="94" spans="1:5" ht="14.25" hidden="1" customHeight="1" outlineLevel="1" x14ac:dyDescent="0.3"/>
    <row r="95" spans="1:5" ht="14.25" hidden="1" customHeight="1" outlineLevel="1" x14ac:dyDescent="0.3">
      <c r="A95" s="168" t="str">
        <f>A22</f>
        <v xml:space="preserve">Staff 1 </v>
      </c>
      <c r="B95" s="168" t="s">
        <v>199</v>
      </c>
      <c r="C95" s="168" t="s">
        <v>198</v>
      </c>
      <c r="D95" s="168" t="s">
        <v>200</v>
      </c>
    </row>
    <row r="96" spans="1:5" ht="14.25" hidden="1" customHeight="1" outlineLevel="1" x14ac:dyDescent="0.3">
      <c r="A96" s="168" t="s">
        <v>2</v>
      </c>
      <c r="B96" s="168">
        <f>E22</f>
        <v>0</v>
      </c>
      <c r="C96" s="194">
        <f>'Main Budget'!B27</f>
        <v>0</v>
      </c>
      <c r="D96" s="194">
        <f>C96*Instruction!$E$6</f>
        <v>0</v>
      </c>
    </row>
    <row r="97" spans="1:4" ht="14.25" hidden="1" customHeight="1" outlineLevel="1" x14ac:dyDescent="0.3">
      <c r="A97" s="168" t="s">
        <v>3</v>
      </c>
      <c r="B97" s="168">
        <f>F22</f>
        <v>0</v>
      </c>
      <c r="C97" s="194">
        <f>'Main Budget'!C27</f>
        <v>0</v>
      </c>
      <c r="D97" s="194">
        <f>C97*Instruction!$E$9</f>
        <v>0</v>
      </c>
    </row>
    <row r="98" spans="1:4" ht="14.25" hidden="1" customHeight="1" outlineLevel="1" x14ac:dyDescent="0.3">
      <c r="A98" s="168" t="s">
        <v>4</v>
      </c>
      <c r="B98" s="168">
        <f>G22</f>
        <v>0</v>
      </c>
      <c r="C98" s="194">
        <f>'Main Budget'!D27</f>
        <v>0</v>
      </c>
      <c r="D98" s="194">
        <f>C98*Instruction!$E$9</f>
        <v>0</v>
      </c>
    </row>
    <row r="99" spans="1:4" ht="14.25" hidden="1" customHeight="1" outlineLevel="1" x14ac:dyDescent="0.3">
      <c r="A99" s="168" t="s">
        <v>5</v>
      </c>
      <c r="B99" s="168">
        <f>H22</f>
        <v>0</v>
      </c>
      <c r="C99" s="194">
        <f>'Main Budget'!E27</f>
        <v>0</v>
      </c>
      <c r="D99" s="194">
        <f>C99*Instruction!$E$9</f>
        <v>0</v>
      </c>
    </row>
    <row r="100" spans="1:4" ht="14.25" hidden="1" customHeight="1" outlineLevel="1" x14ac:dyDescent="0.3">
      <c r="A100" s="168" t="s">
        <v>6</v>
      </c>
      <c r="B100" s="168">
        <f>I22</f>
        <v>0</v>
      </c>
      <c r="C100" s="194">
        <f>'Main Budget'!F27</f>
        <v>0</v>
      </c>
      <c r="D100" s="194">
        <f>C100*Instruction!$E$9</f>
        <v>0</v>
      </c>
    </row>
    <row r="101" spans="1:4" ht="14.25" hidden="1" customHeight="1" outlineLevel="1" x14ac:dyDescent="0.3"/>
    <row r="102" spans="1:4" ht="14.25" hidden="1" customHeight="1" outlineLevel="1" x14ac:dyDescent="0.3">
      <c r="A102" s="168" t="str">
        <f>A23</f>
        <v xml:space="preserve">Staff 2 </v>
      </c>
      <c r="B102" s="168" t="s">
        <v>199</v>
      </c>
      <c r="C102" s="168" t="s">
        <v>198</v>
      </c>
      <c r="D102" s="168" t="s">
        <v>200</v>
      </c>
    </row>
    <row r="103" spans="1:4" ht="14.25" hidden="1" customHeight="1" outlineLevel="1" x14ac:dyDescent="0.3">
      <c r="A103" s="168" t="s">
        <v>2</v>
      </c>
      <c r="B103" s="168">
        <f>E23</f>
        <v>0</v>
      </c>
      <c r="C103" s="194">
        <f>'Main Budget'!B28</f>
        <v>0</v>
      </c>
      <c r="D103" s="194">
        <f>C103*Instruction!$E$6</f>
        <v>0</v>
      </c>
    </row>
    <row r="104" spans="1:4" ht="14.25" hidden="1" customHeight="1" outlineLevel="1" x14ac:dyDescent="0.3">
      <c r="A104" s="168" t="s">
        <v>3</v>
      </c>
      <c r="B104" s="168">
        <f>F23</f>
        <v>0</v>
      </c>
      <c r="C104" s="194">
        <f>'Main Budget'!C28</f>
        <v>0</v>
      </c>
      <c r="D104" s="194">
        <f>C104*Instruction!$E$9</f>
        <v>0</v>
      </c>
    </row>
    <row r="105" spans="1:4" ht="14.25" hidden="1" customHeight="1" outlineLevel="1" x14ac:dyDescent="0.3">
      <c r="A105" s="168" t="s">
        <v>4</v>
      </c>
      <c r="B105" s="168">
        <f>G23</f>
        <v>0</v>
      </c>
      <c r="C105" s="194">
        <f>'Main Budget'!D28</f>
        <v>0</v>
      </c>
      <c r="D105" s="194">
        <f>C105*Instruction!$E$9</f>
        <v>0</v>
      </c>
    </row>
    <row r="106" spans="1:4" ht="14.25" hidden="1" customHeight="1" outlineLevel="1" x14ac:dyDescent="0.3">
      <c r="A106" s="168" t="s">
        <v>5</v>
      </c>
      <c r="B106" s="168">
        <f>H23</f>
        <v>0</v>
      </c>
      <c r="C106" s="194">
        <f>'Main Budget'!E28</f>
        <v>0</v>
      </c>
      <c r="D106" s="194">
        <f>C106*Instruction!$E$9</f>
        <v>0</v>
      </c>
    </row>
    <row r="107" spans="1:4" ht="14.25" hidden="1" customHeight="1" outlineLevel="1" x14ac:dyDescent="0.3">
      <c r="A107" s="168" t="s">
        <v>6</v>
      </c>
      <c r="B107" s="168">
        <f>I23</f>
        <v>0</v>
      </c>
      <c r="C107" s="194">
        <f>'Main Budget'!F28</f>
        <v>0</v>
      </c>
      <c r="D107" s="194">
        <f>C107*Instruction!$E$9</f>
        <v>0</v>
      </c>
    </row>
    <row r="108" spans="1:4" ht="14.25" hidden="1" customHeight="1" outlineLevel="1" x14ac:dyDescent="0.3"/>
    <row r="109" spans="1:4" ht="14.25" hidden="1" customHeight="1" outlineLevel="1" x14ac:dyDescent="0.3">
      <c r="A109" s="168" t="str">
        <f>A24</f>
        <v xml:space="preserve">Staff 3 </v>
      </c>
      <c r="B109" s="168" t="s">
        <v>199</v>
      </c>
      <c r="C109" s="168" t="s">
        <v>198</v>
      </c>
      <c r="D109" s="168" t="s">
        <v>200</v>
      </c>
    </row>
    <row r="110" spans="1:4" ht="14.25" hidden="1" customHeight="1" outlineLevel="1" x14ac:dyDescent="0.3">
      <c r="A110" s="168" t="s">
        <v>2</v>
      </c>
      <c r="B110" s="168">
        <f>E24</f>
        <v>0</v>
      </c>
      <c r="C110" s="194">
        <f>'Main Budget'!B29</f>
        <v>0</v>
      </c>
      <c r="D110" s="194">
        <f>C110*Instruction!$E$6</f>
        <v>0</v>
      </c>
    </row>
    <row r="111" spans="1:4" ht="14.25" hidden="1" customHeight="1" outlineLevel="1" x14ac:dyDescent="0.3">
      <c r="A111" s="168" t="s">
        <v>3</v>
      </c>
      <c r="B111" s="168">
        <f>F24</f>
        <v>0</v>
      </c>
      <c r="C111" s="194">
        <f>'Main Budget'!C29</f>
        <v>0</v>
      </c>
      <c r="D111" s="194">
        <f>C111*Instruction!$E$9</f>
        <v>0</v>
      </c>
    </row>
    <row r="112" spans="1:4" ht="14.25" hidden="1" customHeight="1" outlineLevel="1" x14ac:dyDescent="0.3">
      <c r="A112" s="168" t="s">
        <v>4</v>
      </c>
      <c r="B112" s="168">
        <f>G24</f>
        <v>0</v>
      </c>
      <c r="C112" s="194">
        <f>'Main Budget'!D29</f>
        <v>0</v>
      </c>
      <c r="D112" s="194">
        <f>C112*Instruction!$E$9</f>
        <v>0</v>
      </c>
    </row>
    <row r="113" spans="1:4" ht="14.25" hidden="1" customHeight="1" outlineLevel="1" x14ac:dyDescent="0.3">
      <c r="A113" s="168" t="s">
        <v>5</v>
      </c>
      <c r="B113" s="168">
        <f>H24</f>
        <v>0</v>
      </c>
      <c r="C113" s="194">
        <f>'Main Budget'!E29</f>
        <v>0</v>
      </c>
      <c r="D113" s="194">
        <f>C113*Instruction!$E$9</f>
        <v>0</v>
      </c>
    </row>
    <row r="114" spans="1:4" ht="14.25" hidden="1" customHeight="1" outlineLevel="1" x14ac:dyDescent="0.3">
      <c r="A114" s="168" t="s">
        <v>6</v>
      </c>
      <c r="B114" s="168">
        <f>I24</f>
        <v>0</v>
      </c>
      <c r="C114" s="194">
        <f>'Main Budget'!F29</f>
        <v>0</v>
      </c>
      <c r="D114" s="194">
        <f>C114*Instruction!$E$9</f>
        <v>0</v>
      </c>
    </row>
    <row r="115" spans="1:4" ht="14.25" hidden="1" customHeight="1" outlineLevel="1" x14ac:dyDescent="0.3"/>
    <row r="116" spans="1:4" ht="14.25" hidden="1" customHeight="1" outlineLevel="1" x14ac:dyDescent="0.3">
      <c r="A116" s="168" t="str">
        <f>A25</f>
        <v xml:space="preserve">Staff 4 </v>
      </c>
      <c r="B116" s="168" t="s">
        <v>199</v>
      </c>
      <c r="C116" s="168" t="s">
        <v>198</v>
      </c>
      <c r="D116" s="168" t="s">
        <v>200</v>
      </c>
    </row>
    <row r="117" spans="1:4" ht="14.25" hidden="1" customHeight="1" outlineLevel="1" x14ac:dyDescent="0.3">
      <c r="A117" s="168" t="s">
        <v>2</v>
      </c>
      <c r="B117" s="168">
        <f>E25</f>
        <v>0</v>
      </c>
      <c r="C117" s="194">
        <f>'Main Budget'!B30</f>
        <v>0</v>
      </c>
      <c r="D117" s="194">
        <f>C117*Instruction!$E$6</f>
        <v>0</v>
      </c>
    </row>
    <row r="118" spans="1:4" ht="14.25" hidden="1" customHeight="1" outlineLevel="1" x14ac:dyDescent="0.3">
      <c r="A118" s="168" t="s">
        <v>3</v>
      </c>
      <c r="B118" s="168">
        <f>F25</f>
        <v>0</v>
      </c>
      <c r="C118" s="194">
        <f>'Main Budget'!C30</f>
        <v>0</v>
      </c>
      <c r="D118" s="194">
        <f>C118*Instruction!$E$9</f>
        <v>0</v>
      </c>
    </row>
    <row r="119" spans="1:4" ht="14.25" hidden="1" customHeight="1" outlineLevel="1" x14ac:dyDescent="0.3">
      <c r="A119" s="168" t="s">
        <v>4</v>
      </c>
      <c r="B119" s="168">
        <f>G25</f>
        <v>0</v>
      </c>
      <c r="C119" s="194">
        <f>'Main Budget'!D30</f>
        <v>0</v>
      </c>
      <c r="D119" s="194">
        <f>C119*Instruction!$E$9</f>
        <v>0</v>
      </c>
    </row>
    <row r="120" spans="1:4" ht="14.25" hidden="1" customHeight="1" outlineLevel="1" x14ac:dyDescent="0.3">
      <c r="A120" s="168" t="s">
        <v>5</v>
      </c>
      <c r="B120" s="168">
        <f>H25</f>
        <v>0</v>
      </c>
      <c r="C120" s="194">
        <f>'Main Budget'!E30</f>
        <v>0</v>
      </c>
      <c r="D120" s="194">
        <f>C120*Instruction!$E$9</f>
        <v>0</v>
      </c>
    </row>
    <row r="121" spans="1:4" ht="14.25" hidden="1" customHeight="1" outlineLevel="1" x14ac:dyDescent="0.3">
      <c r="A121" s="168" t="s">
        <v>6</v>
      </c>
      <c r="B121" s="168">
        <f>I25</f>
        <v>0</v>
      </c>
      <c r="C121" s="194">
        <f>'Main Budget'!F30</f>
        <v>0</v>
      </c>
      <c r="D121" s="194">
        <f>C121*Instruction!$E$9</f>
        <v>0</v>
      </c>
    </row>
    <row r="122" spans="1:4" ht="14.25" hidden="1" customHeight="1" outlineLevel="1" x14ac:dyDescent="0.3"/>
    <row r="123" spans="1:4" ht="14.25" hidden="1" customHeight="1" outlineLevel="1" x14ac:dyDescent="0.3">
      <c r="A123" s="168" t="str">
        <f>A26</f>
        <v>Staff 5</v>
      </c>
      <c r="B123" s="168" t="s">
        <v>199</v>
      </c>
      <c r="C123" s="168" t="s">
        <v>198</v>
      </c>
      <c r="D123" s="168" t="s">
        <v>200</v>
      </c>
    </row>
    <row r="124" spans="1:4" ht="14.25" hidden="1" customHeight="1" outlineLevel="1" x14ac:dyDescent="0.3">
      <c r="A124" s="168" t="s">
        <v>2</v>
      </c>
      <c r="B124" s="168">
        <f>E26</f>
        <v>0</v>
      </c>
      <c r="C124" s="194">
        <f>'Main Budget'!B31</f>
        <v>0</v>
      </c>
      <c r="D124" s="194">
        <f>C124*Instruction!$E$6</f>
        <v>0</v>
      </c>
    </row>
    <row r="125" spans="1:4" ht="14.25" hidden="1" customHeight="1" outlineLevel="1" x14ac:dyDescent="0.3">
      <c r="A125" s="168" t="s">
        <v>3</v>
      </c>
      <c r="B125" s="168">
        <f>F26</f>
        <v>0</v>
      </c>
      <c r="C125" s="194">
        <f>'Main Budget'!C31</f>
        <v>0</v>
      </c>
      <c r="D125" s="194">
        <f>C125*Instruction!$E$9</f>
        <v>0</v>
      </c>
    </row>
    <row r="126" spans="1:4" ht="14.25" hidden="1" customHeight="1" outlineLevel="1" x14ac:dyDescent="0.3">
      <c r="A126" s="168" t="s">
        <v>4</v>
      </c>
      <c r="B126" s="168">
        <f>G26</f>
        <v>0</v>
      </c>
      <c r="C126" s="194">
        <f>'Main Budget'!D31</f>
        <v>0</v>
      </c>
      <c r="D126" s="194">
        <f>C126*Instruction!$E$9</f>
        <v>0</v>
      </c>
    </row>
    <row r="127" spans="1:4" ht="14.25" hidden="1" customHeight="1" outlineLevel="1" x14ac:dyDescent="0.3">
      <c r="A127" s="168" t="s">
        <v>5</v>
      </c>
      <c r="B127" s="168">
        <f>H26</f>
        <v>0</v>
      </c>
      <c r="C127" s="194">
        <f>'Main Budget'!E31</f>
        <v>0</v>
      </c>
      <c r="D127" s="194">
        <f>C127*Instruction!$E$9</f>
        <v>0</v>
      </c>
    </row>
    <row r="128" spans="1:4" ht="14.25" hidden="1" customHeight="1" outlineLevel="1" x14ac:dyDescent="0.3">
      <c r="A128" s="168" t="s">
        <v>6</v>
      </c>
      <c r="B128" s="168">
        <f>I26</f>
        <v>0</v>
      </c>
      <c r="C128" s="194">
        <f>'Main Budget'!F31</f>
        <v>0</v>
      </c>
      <c r="D128" s="194">
        <f>C128*Instruction!$E$9</f>
        <v>0</v>
      </c>
    </row>
    <row r="129" spans="1:4" ht="14.25" hidden="1" customHeight="1" collapsed="1" x14ac:dyDescent="0.3"/>
    <row r="130" spans="1:4" ht="14.25" hidden="1" customHeight="1" x14ac:dyDescent="0.3">
      <c r="A130" s="168" t="str">
        <f>A31</f>
        <v>Faculty 1 (Summer)</v>
      </c>
      <c r="B130" s="168" t="s">
        <v>330</v>
      </c>
      <c r="C130" s="168" t="s">
        <v>198</v>
      </c>
      <c r="D130" s="168" t="s">
        <v>200</v>
      </c>
    </row>
    <row r="131" spans="1:4" ht="14.25" hidden="1" customHeight="1" x14ac:dyDescent="0.3">
      <c r="A131" s="168" t="s">
        <v>2</v>
      </c>
      <c r="B131" s="168">
        <f>E31</f>
        <v>0</v>
      </c>
      <c r="C131" s="194">
        <f>'Main Budget'!B35</f>
        <v>0</v>
      </c>
      <c r="D131" s="194">
        <f>C131*Instruction!$F$6</f>
        <v>0</v>
      </c>
    </row>
    <row r="132" spans="1:4" ht="14.25" hidden="1" customHeight="1" x14ac:dyDescent="0.3">
      <c r="A132" s="168" t="s">
        <v>3</v>
      </c>
      <c r="B132" s="168">
        <f>F31</f>
        <v>0</v>
      </c>
      <c r="C132" s="194">
        <f>'Main Budget'!C35</f>
        <v>0</v>
      </c>
      <c r="D132" s="194">
        <f>C132*Instruction!$F$9</f>
        <v>0</v>
      </c>
    </row>
    <row r="133" spans="1:4" ht="14.25" hidden="1" customHeight="1" x14ac:dyDescent="0.3">
      <c r="A133" s="168" t="s">
        <v>4</v>
      </c>
      <c r="B133" s="168">
        <f>G31</f>
        <v>0</v>
      </c>
      <c r="C133" s="194">
        <f>'Main Budget'!D35</f>
        <v>0</v>
      </c>
      <c r="D133" s="194">
        <f>C133*Instruction!$F$9</f>
        <v>0</v>
      </c>
    </row>
    <row r="134" spans="1:4" ht="14.25" hidden="1" customHeight="1" x14ac:dyDescent="0.3">
      <c r="A134" s="168" t="s">
        <v>5</v>
      </c>
      <c r="B134" s="168">
        <f>H31</f>
        <v>0</v>
      </c>
      <c r="C134" s="194">
        <f>'Main Budget'!E35</f>
        <v>0</v>
      </c>
      <c r="D134" s="194">
        <f>C134*Instruction!$F$9</f>
        <v>0</v>
      </c>
    </row>
    <row r="135" spans="1:4" ht="14.25" hidden="1" customHeight="1" x14ac:dyDescent="0.3">
      <c r="A135" s="168" t="s">
        <v>6</v>
      </c>
      <c r="B135" s="168">
        <f>I31</f>
        <v>0</v>
      </c>
      <c r="C135" s="194">
        <f>'Main Budget'!F35</f>
        <v>0</v>
      </c>
      <c r="D135" s="194">
        <f>C135*Instruction!$F$9</f>
        <v>0</v>
      </c>
    </row>
    <row r="136" spans="1:4" ht="14.25" hidden="1" customHeight="1" x14ac:dyDescent="0.3"/>
    <row r="137" spans="1:4" ht="14.25" hidden="1" customHeight="1" x14ac:dyDescent="0.3">
      <c r="A137" s="168" t="str">
        <f>A32</f>
        <v>Faculty 2 (Summer)</v>
      </c>
      <c r="B137" s="168" t="s">
        <v>330</v>
      </c>
      <c r="C137" s="168" t="s">
        <v>198</v>
      </c>
      <c r="D137" s="168" t="s">
        <v>200</v>
      </c>
    </row>
    <row r="138" spans="1:4" ht="14.25" hidden="1" customHeight="1" x14ac:dyDescent="0.3">
      <c r="A138" s="168" t="s">
        <v>2</v>
      </c>
      <c r="B138" s="168">
        <f>E32</f>
        <v>0</v>
      </c>
      <c r="C138" s="194">
        <f>'Main Budget'!B36</f>
        <v>0</v>
      </c>
      <c r="D138" s="194">
        <f>C138*Instruction!$F$6</f>
        <v>0</v>
      </c>
    </row>
    <row r="139" spans="1:4" ht="14.25" hidden="1" customHeight="1" x14ac:dyDescent="0.3">
      <c r="A139" s="168" t="s">
        <v>3</v>
      </c>
      <c r="B139" s="168">
        <f>F32</f>
        <v>0</v>
      </c>
      <c r="C139" s="194">
        <f>'Main Budget'!C36</f>
        <v>0</v>
      </c>
      <c r="D139" s="194">
        <f>C139*Instruction!$F$9</f>
        <v>0</v>
      </c>
    </row>
    <row r="140" spans="1:4" ht="14.25" hidden="1" customHeight="1" x14ac:dyDescent="0.3">
      <c r="A140" s="168" t="s">
        <v>4</v>
      </c>
      <c r="B140" s="168">
        <f>G32</f>
        <v>0</v>
      </c>
      <c r="C140" s="194">
        <f>'Main Budget'!D36</f>
        <v>0</v>
      </c>
      <c r="D140" s="194">
        <f>C140*Instruction!$F$9</f>
        <v>0</v>
      </c>
    </row>
    <row r="141" spans="1:4" ht="14.25" hidden="1" customHeight="1" x14ac:dyDescent="0.3">
      <c r="A141" s="168" t="s">
        <v>5</v>
      </c>
      <c r="B141" s="168">
        <f>H32</f>
        <v>0</v>
      </c>
      <c r="C141" s="194">
        <f>'Main Budget'!E36</f>
        <v>0</v>
      </c>
      <c r="D141" s="194">
        <f>C141*Instruction!$F$9</f>
        <v>0</v>
      </c>
    </row>
    <row r="142" spans="1:4" ht="14.25" hidden="1" customHeight="1" x14ac:dyDescent="0.3">
      <c r="A142" s="168" t="s">
        <v>6</v>
      </c>
      <c r="B142" s="168">
        <f>I32</f>
        <v>0</v>
      </c>
      <c r="C142" s="194">
        <f>'Main Budget'!F36</f>
        <v>0</v>
      </c>
      <c r="D142" s="194">
        <f>C142*Instruction!$F$9</f>
        <v>0</v>
      </c>
    </row>
    <row r="143" spans="1:4" ht="14.25" hidden="1" customHeight="1" x14ac:dyDescent="0.3"/>
    <row r="144" spans="1:4" ht="14.25" hidden="1" customHeight="1" x14ac:dyDescent="0.3">
      <c r="A144" s="168" t="str">
        <f>A33</f>
        <v>Faculty 3 (Summer)</v>
      </c>
      <c r="B144" s="168" t="s">
        <v>330</v>
      </c>
      <c r="C144" s="168" t="s">
        <v>198</v>
      </c>
      <c r="D144" s="168" t="s">
        <v>200</v>
      </c>
    </row>
    <row r="145" spans="1:4" ht="14.25" hidden="1" customHeight="1" x14ac:dyDescent="0.3">
      <c r="A145" s="168" t="s">
        <v>2</v>
      </c>
      <c r="B145" s="168">
        <f>E33</f>
        <v>0</v>
      </c>
      <c r="C145" s="194">
        <f>'Main Budget'!B37</f>
        <v>0</v>
      </c>
      <c r="D145" s="194">
        <f>C145*Instruction!$F$6</f>
        <v>0</v>
      </c>
    </row>
    <row r="146" spans="1:4" ht="14.25" hidden="1" customHeight="1" x14ac:dyDescent="0.3">
      <c r="A146" s="168" t="s">
        <v>3</v>
      </c>
      <c r="B146" s="168">
        <f>F33</f>
        <v>0</v>
      </c>
      <c r="C146" s="194">
        <f>'Main Budget'!C37</f>
        <v>0</v>
      </c>
      <c r="D146" s="194">
        <f>C146*Instruction!$F$9</f>
        <v>0</v>
      </c>
    </row>
    <row r="147" spans="1:4" ht="14.25" hidden="1" customHeight="1" x14ac:dyDescent="0.3">
      <c r="A147" s="168" t="s">
        <v>4</v>
      </c>
      <c r="B147" s="168">
        <f>G33</f>
        <v>0</v>
      </c>
      <c r="C147" s="194">
        <f>'Main Budget'!D37</f>
        <v>0</v>
      </c>
      <c r="D147" s="194">
        <f>C147*Instruction!$F$9</f>
        <v>0</v>
      </c>
    </row>
    <row r="148" spans="1:4" ht="14.25" hidden="1" customHeight="1" x14ac:dyDescent="0.3">
      <c r="A148" s="168" t="s">
        <v>5</v>
      </c>
      <c r="B148" s="168">
        <f>H33</f>
        <v>0</v>
      </c>
      <c r="C148" s="194">
        <f>'Main Budget'!E37</f>
        <v>0</v>
      </c>
      <c r="D148" s="194">
        <f>C148*Instruction!$F$9</f>
        <v>0</v>
      </c>
    </row>
    <row r="149" spans="1:4" ht="14.25" hidden="1" customHeight="1" x14ac:dyDescent="0.3">
      <c r="A149" s="168" t="s">
        <v>6</v>
      </c>
      <c r="B149" s="168">
        <f>I33</f>
        <v>0</v>
      </c>
      <c r="C149" s="194">
        <f>'Main Budget'!F37</f>
        <v>0</v>
      </c>
      <c r="D149" s="194">
        <f>C149*Instruction!$F$9</f>
        <v>0</v>
      </c>
    </row>
    <row r="150" spans="1:4" ht="14.25" hidden="1" customHeight="1" x14ac:dyDescent="0.3"/>
    <row r="151" spans="1:4" ht="14.25" hidden="1" customHeight="1" x14ac:dyDescent="0.3">
      <c r="A151" s="168" t="str">
        <f>A34</f>
        <v>Faculty 4 (Summer)</v>
      </c>
      <c r="B151" s="168" t="s">
        <v>330</v>
      </c>
      <c r="C151" s="168" t="s">
        <v>198</v>
      </c>
      <c r="D151" s="168" t="s">
        <v>200</v>
      </c>
    </row>
    <row r="152" spans="1:4" ht="14.25" hidden="1" customHeight="1" x14ac:dyDescent="0.3">
      <c r="A152" s="168" t="s">
        <v>2</v>
      </c>
      <c r="B152" s="168">
        <f>E34</f>
        <v>0</v>
      </c>
      <c r="C152" s="194">
        <f>'Main Budget'!B38</f>
        <v>0</v>
      </c>
      <c r="D152" s="194">
        <f>C152*Instruction!$F$6</f>
        <v>0</v>
      </c>
    </row>
    <row r="153" spans="1:4" ht="14.25" hidden="1" customHeight="1" x14ac:dyDescent="0.3">
      <c r="A153" s="168" t="s">
        <v>3</v>
      </c>
      <c r="B153" s="168">
        <f>F34</f>
        <v>0</v>
      </c>
      <c r="C153" s="194">
        <f>'Main Budget'!C38</f>
        <v>0</v>
      </c>
      <c r="D153" s="194">
        <f>C153*Instruction!$F$9</f>
        <v>0</v>
      </c>
    </row>
    <row r="154" spans="1:4" ht="14.25" hidden="1" customHeight="1" x14ac:dyDescent="0.3">
      <c r="A154" s="168" t="s">
        <v>4</v>
      </c>
      <c r="B154" s="168">
        <f>G34</f>
        <v>0</v>
      </c>
      <c r="C154" s="194">
        <f>'Main Budget'!D38</f>
        <v>0</v>
      </c>
      <c r="D154" s="194">
        <f>C154*Instruction!$F$9</f>
        <v>0</v>
      </c>
    </row>
    <row r="155" spans="1:4" ht="14.25" hidden="1" customHeight="1" x14ac:dyDescent="0.3">
      <c r="A155" s="168" t="s">
        <v>5</v>
      </c>
      <c r="B155" s="168">
        <f>H34</f>
        <v>0</v>
      </c>
      <c r="C155" s="194">
        <f>'Main Budget'!E38</f>
        <v>0</v>
      </c>
      <c r="D155" s="194">
        <f>C155*Instruction!$F$9</f>
        <v>0</v>
      </c>
    </row>
    <row r="156" spans="1:4" ht="14.25" hidden="1" customHeight="1" x14ac:dyDescent="0.3">
      <c r="A156" s="168" t="s">
        <v>6</v>
      </c>
      <c r="B156" s="168">
        <f>I34</f>
        <v>0</v>
      </c>
      <c r="C156" s="194">
        <f>'Main Budget'!F38</f>
        <v>0</v>
      </c>
      <c r="D156" s="194">
        <f>C156*Instruction!$F$9</f>
        <v>0</v>
      </c>
    </row>
    <row r="157" spans="1:4" ht="14.25" hidden="1" customHeight="1" x14ac:dyDescent="0.3"/>
    <row r="158" spans="1:4" ht="14.25" hidden="1" customHeight="1" x14ac:dyDescent="0.3">
      <c r="A158" s="168" t="str">
        <f>A35</f>
        <v>Faculty 5 (Summer)</v>
      </c>
      <c r="B158" s="168" t="s">
        <v>330</v>
      </c>
      <c r="C158" s="168" t="s">
        <v>198</v>
      </c>
      <c r="D158" s="168" t="s">
        <v>200</v>
      </c>
    </row>
    <row r="159" spans="1:4" ht="14.25" hidden="1" customHeight="1" x14ac:dyDescent="0.3">
      <c r="A159" s="168" t="s">
        <v>2</v>
      </c>
      <c r="B159" s="168">
        <f>E35</f>
        <v>0</v>
      </c>
      <c r="C159" s="194">
        <f>'Main Budget'!B385</f>
        <v>0</v>
      </c>
      <c r="D159" s="194">
        <f>C159*Instruction!$F$6</f>
        <v>0</v>
      </c>
    </row>
    <row r="160" spans="1:4" ht="14.25" hidden="1" customHeight="1" x14ac:dyDescent="0.3">
      <c r="A160" s="168" t="s">
        <v>3</v>
      </c>
      <c r="B160" s="168">
        <f>F35</f>
        <v>0</v>
      </c>
      <c r="C160" s="194">
        <f>'Main Budget'!C39</f>
        <v>0</v>
      </c>
      <c r="D160" s="194">
        <f>C160*Instruction!$F$9</f>
        <v>0</v>
      </c>
    </row>
    <row r="161" spans="1:4" ht="14.25" hidden="1" customHeight="1" x14ac:dyDescent="0.3">
      <c r="A161" s="168" t="s">
        <v>4</v>
      </c>
      <c r="B161" s="168">
        <f>G35</f>
        <v>0</v>
      </c>
      <c r="C161" s="194">
        <f>'Main Budget'!D39</f>
        <v>0</v>
      </c>
      <c r="D161" s="194">
        <f>C161*Instruction!$F$9</f>
        <v>0</v>
      </c>
    </row>
    <row r="162" spans="1:4" ht="14.25" hidden="1" customHeight="1" x14ac:dyDescent="0.3">
      <c r="A162" s="168" t="s">
        <v>5</v>
      </c>
      <c r="B162" s="168">
        <f>H35</f>
        <v>0</v>
      </c>
      <c r="C162" s="194">
        <f>'Main Budget'!E39</f>
        <v>0</v>
      </c>
      <c r="D162" s="194">
        <f>C162*Instruction!$F$9</f>
        <v>0</v>
      </c>
    </row>
    <row r="163" spans="1:4" ht="14.25" hidden="1" customHeight="1" x14ac:dyDescent="0.3">
      <c r="A163" s="168" t="s">
        <v>6</v>
      </c>
      <c r="B163" s="168">
        <f>I35</f>
        <v>0</v>
      </c>
      <c r="C163" s="194">
        <f>'Main Budget'!F39</f>
        <v>0</v>
      </c>
      <c r="D163" s="194">
        <f>C163*Instruction!$F$9</f>
        <v>0</v>
      </c>
    </row>
    <row r="164" spans="1:4" ht="14.25" hidden="1" customHeight="1" x14ac:dyDescent="0.3"/>
    <row r="165" spans="1:4" ht="14.25" customHeight="1" x14ac:dyDescent="0.3"/>
    <row r="166" spans="1:4" ht="14.25" customHeight="1" x14ac:dyDescent="0.3"/>
    <row r="167" spans="1:4" ht="14.25" customHeight="1" x14ac:dyDescent="0.3"/>
    <row r="168" spans="1:4" ht="14.25" customHeight="1" x14ac:dyDescent="0.3"/>
    <row r="169" spans="1:4" ht="14.25" customHeight="1" x14ac:dyDescent="0.3"/>
    <row r="170" spans="1:4" ht="14.25" customHeight="1" x14ac:dyDescent="0.3"/>
    <row r="171" spans="1:4" ht="14.25" customHeight="1" x14ac:dyDescent="0.3"/>
    <row r="172" spans="1:4" ht="14.25" customHeight="1" x14ac:dyDescent="0.3"/>
    <row r="173" spans="1:4" ht="14.25" customHeight="1" x14ac:dyDescent="0.3"/>
    <row r="174" spans="1:4" ht="14.25" customHeight="1" x14ac:dyDescent="0.3"/>
    <row r="175" spans="1:4" ht="14.25" customHeight="1" x14ac:dyDescent="0.3"/>
    <row r="176" spans="1:4"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row r="1002" ht="14.25" customHeight="1" x14ac:dyDescent="0.3"/>
    <row r="1003" ht="14.25" customHeight="1" x14ac:dyDescent="0.3"/>
    <row r="1004" ht="14.25" customHeight="1" x14ac:dyDescent="0.3"/>
    <row r="1005" ht="14.25" customHeight="1" x14ac:dyDescent="0.3"/>
    <row r="1006" ht="14.25" customHeight="1" x14ac:dyDescent="0.3"/>
    <row r="1007" ht="14.25" customHeight="1" x14ac:dyDescent="0.3"/>
    <row r="1008" ht="14.25" customHeight="1" x14ac:dyDescent="0.3"/>
    <row r="1009" ht="14.25" customHeight="1" x14ac:dyDescent="0.3"/>
    <row r="1010" ht="14.25" customHeight="1" x14ac:dyDescent="0.3"/>
    <row r="1011" ht="14.25" customHeight="1" x14ac:dyDescent="0.3"/>
    <row r="1012" ht="14.25" customHeight="1" x14ac:dyDescent="0.3"/>
    <row r="1013" ht="14.25" customHeight="1" x14ac:dyDescent="0.3"/>
    <row r="1014" ht="14.25" customHeight="1" x14ac:dyDescent="0.3"/>
    <row r="1015" ht="14.25" customHeight="1" x14ac:dyDescent="0.3"/>
    <row r="1016" ht="14.25" customHeight="1" x14ac:dyDescent="0.3"/>
    <row r="1017" ht="14.25" customHeight="1" x14ac:dyDescent="0.3"/>
    <row r="1018" ht="14.25" customHeight="1" x14ac:dyDescent="0.3"/>
    <row r="1019" ht="14.25" customHeight="1" x14ac:dyDescent="0.3"/>
    <row r="1020" ht="14.25" customHeight="1" x14ac:dyDescent="0.3"/>
    <row r="1021" ht="14.25" customHeight="1" x14ac:dyDescent="0.3"/>
    <row r="1022" ht="14.25" customHeight="1" x14ac:dyDescent="0.3"/>
    <row r="1023" ht="14.25" customHeight="1" x14ac:dyDescent="0.3"/>
  </sheetData>
  <sheetProtection algorithmName="SHA-512" hashValue="JuBqgPVidYohtKXtwKl9BCI3yIKr0TStCGFras6RJSj4pKOrNuPoDeTqZV53ZzT2R9nGtNzOq1UlVxTHBzhcgQ==" saltValue="vZS7DBBorCdBEgdSqp1qMQ==" spinCount="100000" sheet="1" objects="1" scenarios="1"/>
  <mergeCells count="3">
    <mergeCell ref="E57:I57"/>
    <mergeCell ref="E49:I49"/>
    <mergeCell ref="B37:F37"/>
  </mergeCell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zoomScaleNormal="100" workbookViewId="0">
      <selection activeCell="R11" sqref="R11"/>
    </sheetView>
  </sheetViews>
  <sheetFormatPr defaultColWidth="12.58203125" defaultRowHeight="15" customHeight="1" outlineLevelRow="1" x14ac:dyDescent="0.3"/>
  <cols>
    <col min="1" max="1" width="35.5" style="156" customWidth="1"/>
    <col min="2" max="6" width="10.58203125" style="156" customWidth="1"/>
    <col min="7" max="26" width="9.5" style="156" customWidth="1"/>
    <col min="27" max="16384" width="12.58203125" style="156"/>
  </cols>
  <sheetData>
    <row r="1" spans="1:6" ht="14" x14ac:dyDescent="0.3">
      <c r="A1" s="195" t="s">
        <v>42</v>
      </c>
      <c r="B1" s="195" t="s">
        <v>2</v>
      </c>
      <c r="C1" s="195" t="s">
        <v>3</v>
      </c>
      <c r="D1" s="195" t="s">
        <v>4</v>
      </c>
      <c r="E1" s="195" t="s">
        <v>5</v>
      </c>
      <c r="F1" s="195" t="s">
        <v>6</v>
      </c>
    </row>
    <row r="2" spans="1:6" ht="14" x14ac:dyDescent="0.3">
      <c r="A2" s="196"/>
      <c r="B2" s="197"/>
      <c r="C2" s="197"/>
      <c r="D2" s="197"/>
      <c r="E2" s="197"/>
      <c r="F2" s="197"/>
    </row>
    <row r="3" spans="1:6" ht="15" customHeight="1" x14ac:dyDescent="0.3">
      <c r="A3" s="198"/>
      <c r="B3" s="571" t="s">
        <v>282</v>
      </c>
      <c r="C3" s="571"/>
      <c r="D3" s="571"/>
      <c r="E3" s="571"/>
      <c r="F3" s="572"/>
    </row>
    <row r="4" spans="1:6" ht="15" customHeight="1" x14ac:dyDescent="0.3">
      <c r="A4" s="305" t="s">
        <v>251</v>
      </c>
      <c r="B4" s="306"/>
      <c r="C4" s="306"/>
      <c r="D4" s="307"/>
      <c r="E4" s="306"/>
      <c r="F4" s="306"/>
    </row>
    <row r="5" spans="1:6" ht="15" customHeight="1" x14ac:dyDescent="0.3">
      <c r="A5" s="305" t="s">
        <v>44</v>
      </c>
      <c r="B5" s="306"/>
      <c r="C5" s="306"/>
      <c r="D5" s="307"/>
      <c r="E5" s="306"/>
      <c r="F5" s="306"/>
    </row>
    <row r="6" spans="1:6" ht="15" customHeight="1" x14ac:dyDescent="0.3">
      <c r="A6" s="305" t="s">
        <v>69</v>
      </c>
      <c r="B6" s="306"/>
      <c r="C6" s="306"/>
      <c r="D6" s="307"/>
      <c r="E6" s="306"/>
      <c r="F6" s="306"/>
    </row>
    <row r="7" spans="1:6" ht="15" customHeight="1" x14ac:dyDescent="0.3">
      <c r="A7" s="305" t="s">
        <v>70</v>
      </c>
      <c r="B7" s="306"/>
      <c r="C7" s="306"/>
      <c r="D7" s="307"/>
      <c r="E7" s="306"/>
      <c r="F7" s="306"/>
    </row>
    <row r="8" spans="1:6" ht="15" customHeight="1" x14ac:dyDescent="0.3">
      <c r="A8" s="305" t="s">
        <v>71</v>
      </c>
      <c r="B8" s="306"/>
      <c r="C8" s="306"/>
      <c r="D8" s="307"/>
      <c r="E8" s="306"/>
      <c r="F8" s="306"/>
    </row>
    <row r="9" spans="1:6" ht="15" customHeight="1" x14ac:dyDescent="0.3">
      <c r="A9" s="376" t="s">
        <v>72</v>
      </c>
      <c r="B9" s="377"/>
      <c r="C9" s="377"/>
      <c r="D9" s="375"/>
      <c r="E9" s="377"/>
      <c r="F9" s="377"/>
    </row>
    <row r="10" spans="1:6" ht="15" customHeight="1" x14ac:dyDescent="0.3">
      <c r="A10" s="379" t="s">
        <v>43</v>
      </c>
      <c r="B10" s="274">
        <f>SUM(B4:B9)</f>
        <v>0</v>
      </c>
      <c r="C10" s="274">
        <f t="shared" ref="C10:F10" si="0">SUM(C4:C9)</f>
        <v>0</v>
      </c>
      <c r="D10" s="274">
        <f t="shared" si="0"/>
        <v>0</v>
      </c>
      <c r="E10" s="274">
        <f t="shared" si="0"/>
        <v>0</v>
      </c>
      <c r="F10" s="274">
        <f t="shared" si="0"/>
        <v>0</v>
      </c>
    </row>
    <row r="11" spans="1:6" ht="15.65" customHeight="1" x14ac:dyDescent="0.3">
      <c r="A11" s="199"/>
      <c r="B11" s="199"/>
      <c r="C11" s="199"/>
      <c r="D11" s="199"/>
      <c r="E11" s="199"/>
      <c r="F11" s="378"/>
    </row>
    <row r="12" spans="1:6" ht="15.65" customHeight="1" x14ac:dyDescent="0.3">
      <c r="A12" s="199"/>
      <c r="B12" s="573" t="s">
        <v>261</v>
      </c>
      <c r="C12" s="573"/>
      <c r="D12" s="573"/>
      <c r="E12" s="573"/>
      <c r="F12" s="574"/>
    </row>
    <row r="13" spans="1:6" ht="14" x14ac:dyDescent="0.3">
      <c r="A13" s="308" t="s">
        <v>105</v>
      </c>
      <c r="B13" s="309"/>
      <c r="C13" s="309"/>
      <c r="D13" s="309"/>
      <c r="E13" s="309"/>
      <c r="F13" s="309"/>
    </row>
    <row r="14" spans="1:6" ht="14" x14ac:dyDescent="0.3">
      <c r="A14" s="310" t="s">
        <v>106</v>
      </c>
      <c r="B14" s="311"/>
      <c r="C14" s="311"/>
      <c r="D14" s="311"/>
      <c r="E14" s="311"/>
      <c r="F14" s="311"/>
    </row>
    <row r="15" spans="1:6" ht="14" x14ac:dyDescent="0.3">
      <c r="A15" s="312" t="s">
        <v>107</v>
      </c>
      <c r="B15" s="313"/>
      <c r="C15" s="313"/>
      <c r="D15" s="313"/>
      <c r="E15" s="313"/>
      <c r="F15" s="313"/>
    </row>
    <row r="16" spans="1:6" ht="14" x14ac:dyDescent="0.3">
      <c r="A16" s="314" t="s">
        <v>56</v>
      </c>
      <c r="B16" s="315"/>
      <c r="C16" s="315"/>
      <c r="D16" s="315"/>
      <c r="E16" s="315"/>
      <c r="F16" s="315"/>
    </row>
    <row r="17" spans="1:6" ht="14" x14ac:dyDescent="0.3">
      <c r="A17" s="316" t="s">
        <v>57</v>
      </c>
      <c r="B17" s="317"/>
      <c r="C17" s="317"/>
      <c r="D17" s="317"/>
      <c r="E17" s="317"/>
      <c r="F17" s="317"/>
    </row>
    <row r="18" spans="1:6" ht="14" x14ac:dyDescent="0.3">
      <c r="A18" s="373" t="s">
        <v>43</v>
      </c>
      <c r="B18" s="209">
        <f>SUM(B13:B17)</f>
        <v>0</v>
      </c>
      <c r="C18" s="209">
        <f>SUM(C13:C17)</f>
        <v>0</v>
      </c>
      <c r="D18" s="209">
        <f>SUM(D13:D17)</f>
        <v>0</v>
      </c>
      <c r="E18" s="209">
        <f>SUM(E13:E17)</f>
        <v>0</v>
      </c>
      <c r="F18" s="209">
        <f>SUM(F13:F17)</f>
        <v>0</v>
      </c>
    </row>
    <row r="19" spans="1:6" ht="14" x14ac:dyDescent="0.3">
      <c r="A19" s="200" t="s">
        <v>221</v>
      </c>
      <c r="B19" s="380"/>
      <c r="C19" s="380"/>
      <c r="D19" s="380"/>
      <c r="E19" s="380"/>
      <c r="F19" s="380"/>
    </row>
    <row r="20" spans="1:6" ht="14" outlineLevel="1" x14ac:dyDescent="0.3">
      <c r="A20" s="201"/>
      <c r="B20" s="202"/>
      <c r="C20" s="202"/>
      <c r="D20" s="202"/>
      <c r="E20" s="202"/>
      <c r="F20" s="202"/>
    </row>
    <row r="21" spans="1:6" ht="14" outlineLevel="1" x14ac:dyDescent="0.3">
      <c r="A21" s="199"/>
      <c r="B21" s="573" t="s">
        <v>262</v>
      </c>
      <c r="C21" s="573"/>
      <c r="D21" s="573"/>
      <c r="E21" s="573"/>
      <c r="F21" s="574"/>
    </row>
    <row r="22" spans="1:6" ht="14" outlineLevel="1" x14ac:dyDescent="0.3">
      <c r="A22" s="308" t="s">
        <v>105</v>
      </c>
      <c r="B22" s="309"/>
      <c r="C22" s="309"/>
      <c r="D22" s="309"/>
      <c r="E22" s="309"/>
      <c r="F22" s="309"/>
    </row>
    <row r="23" spans="1:6" ht="14" outlineLevel="1" x14ac:dyDescent="0.3">
      <c r="A23" s="310" t="s">
        <v>106</v>
      </c>
      <c r="B23" s="311"/>
      <c r="C23" s="311"/>
      <c r="D23" s="311"/>
      <c r="E23" s="311"/>
      <c r="F23" s="311"/>
    </row>
    <row r="24" spans="1:6" ht="14" outlineLevel="1" x14ac:dyDescent="0.3">
      <c r="A24" s="312" t="s">
        <v>107</v>
      </c>
      <c r="B24" s="313"/>
      <c r="C24" s="313"/>
      <c r="D24" s="313"/>
      <c r="E24" s="313"/>
      <c r="F24" s="313"/>
    </row>
    <row r="25" spans="1:6" ht="14" outlineLevel="1" x14ac:dyDescent="0.3">
      <c r="A25" s="314" t="s">
        <v>56</v>
      </c>
      <c r="B25" s="315"/>
      <c r="C25" s="315"/>
      <c r="D25" s="315"/>
      <c r="E25" s="315"/>
      <c r="F25" s="315"/>
    </row>
    <row r="26" spans="1:6" ht="14" outlineLevel="1" x14ac:dyDescent="0.3">
      <c r="A26" s="316" t="s">
        <v>57</v>
      </c>
      <c r="B26" s="317"/>
      <c r="C26" s="317"/>
      <c r="D26" s="317"/>
      <c r="E26" s="317"/>
      <c r="F26" s="317"/>
    </row>
    <row r="27" spans="1:6" ht="14" outlineLevel="1" x14ac:dyDescent="0.3">
      <c r="A27" s="373" t="s">
        <v>43</v>
      </c>
      <c r="B27" s="209">
        <f>SUM(B22:B26)</f>
        <v>0</v>
      </c>
      <c r="C27" s="209">
        <f>SUM(C22:C26)</f>
        <v>0</v>
      </c>
      <c r="D27" s="209">
        <f>SUM(D22:D26)</f>
        <v>0</v>
      </c>
      <c r="E27" s="209">
        <f>SUM(E22:E26)</f>
        <v>0</v>
      </c>
      <c r="F27" s="209">
        <f>SUM(F22:F26)</f>
        <v>0</v>
      </c>
    </row>
    <row r="28" spans="1:6" ht="14" outlineLevel="1" x14ac:dyDescent="0.3">
      <c r="A28" s="200" t="s">
        <v>221</v>
      </c>
      <c r="B28" s="380"/>
      <c r="C28" s="380"/>
      <c r="D28" s="380"/>
      <c r="E28" s="380"/>
      <c r="F28" s="380"/>
    </row>
    <row r="29" spans="1:6" ht="14" outlineLevel="1" x14ac:dyDescent="0.3">
      <c r="A29" s="201"/>
      <c r="B29" s="202"/>
      <c r="C29" s="202"/>
      <c r="D29" s="202"/>
      <c r="E29" s="202"/>
      <c r="F29" s="202"/>
    </row>
    <row r="30" spans="1:6" ht="14" outlineLevel="1" x14ac:dyDescent="0.3">
      <c r="A30" s="199"/>
      <c r="B30" s="573" t="s">
        <v>263</v>
      </c>
      <c r="C30" s="573"/>
      <c r="D30" s="573"/>
      <c r="E30" s="573"/>
      <c r="F30" s="574"/>
    </row>
    <row r="31" spans="1:6" ht="14" outlineLevel="1" x14ac:dyDescent="0.3">
      <c r="A31" s="308" t="s">
        <v>105</v>
      </c>
      <c r="B31" s="309"/>
      <c r="C31" s="309"/>
      <c r="D31" s="309"/>
      <c r="E31" s="309"/>
      <c r="F31" s="309"/>
    </row>
    <row r="32" spans="1:6" ht="14" outlineLevel="1" x14ac:dyDescent="0.3">
      <c r="A32" s="310" t="s">
        <v>106</v>
      </c>
      <c r="B32" s="311"/>
      <c r="C32" s="311"/>
      <c r="D32" s="311"/>
      <c r="E32" s="311"/>
      <c r="F32" s="311"/>
    </row>
    <row r="33" spans="1:6" ht="14" outlineLevel="1" x14ac:dyDescent="0.3">
      <c r="A33" s="312" t="s">
        <v>107</v>
      </c>
      <c r="B33" s="313"/>
      <c r="C33" s="313"/>
      <c r="D33" s="313"/>
      <c r="E33" s="313"/>
      <c r="F33" s="313"/>
    </row>
    <row r="34" spans="1:6" ht="14" outlineLevel="1" x14ac:dyDescent="0.3">
      <c r="A34" s="314" t="s">
        <v>56</v>
      </c>
      <c r="B34" s="315"/>
      <c r="C34" s="315"/>
      <c r="D34" s="315"/>
      <c r="E34" s="315"/>
      <c r="F34" s="315"/>
    </row>
    <row r="35" spans="1:6" ht="14" outlineLevel="1" x14ac:dyDescent="0.3">
      <c r="A35" s="316" t="s">
        <v>57</v>
      </c>
      <c r="B35" s="317"/>
      <c r="C35" s="317"/>
      <c r="D35" s="317"/>
      <c r="E35" s="317"/>
      <c r="F35" s="317"/>
    </row>
    <row r="36" spans="1:6" ht="14" outlineLevel="1" x14ac:dyDescent="0.3">
      <c r="A36" s="373" t="s">
        <v>43</v>
      </c>
      <c r="B36" s="209">
        <f>SUM(B31:B35)</f>
        <v>0</v>
      </c>
      <c r="C36" s="209">
        <f>SUM(C31:C35)</f>
        <v>0</v>
      </c>
      <c r="D36" s="209">
        <f>SUM(D31:D35)</f>
        <v>0</v>
      </c>
      <c r="E36" s="209">
        <f>SUM(E31:E35)</f>
        <v>0</v>
      </c>
      <c r="F36" s="209">
        <f>SUM(F31:F35)</f>
        <v>0</v>
      </c>
    </row>
    <row r="37" spans="1:6" ht="14" outlineLevel="1" x14ac:dyDescent="0.3">
      <c r="A37" s="200" t="s">
        <v>221</v>
      </c>
      <c r="B37" s="380"/>
      <c r="C37" s="380"/>
      <c r="D37" s="380"/>
      <c r="E37" s="380"/>
      <c r="F37" s="380"/>
    </row>
    <row r="38" spans="1:6" ht="14" x14ac:dyDescent="0.3">
      <c r="A38" s="201"/>
      <c r="B38" s="202"/>
      <c r="C38" s="202"/>
      <c r="D38" s="202"/>
      <c r="E38" s="202"/>
      <c r="F38" s="202"/>
    </row>
    <row r="39" spans="1:6" ht="14" x14ac:dyDescent="0.3">
      <c r="A39" s="570" t="s">
        <v>18</v>
      </c>
      <c r="B39" s="570"/>
      <c r="C39" s="570"/>
      <c r="D39" s="570"/>
      <c r="E39" s="570"/>
      <c r="F39" s="570"/>
    </row>
    <row r="40" spans="1:6" ht="14" x14ac:dyDescent="0.3">
      <c r="A40" s="167" t="s">
        <v>19</v>
      </c>
    </row>
    <row r="41" spans="1:6" ht="14" x14ac:dyDescent="0.3">
      <c r="A41" s="318"/>
      <c r="B41" s="319"/>
      <c r="C41" s="319"/>
      <c r="D41" s="319"/>
      <c r="E41" s="319"/>
      <c r="F41" s="319"/>
    </row>
    <row r="42" spans="1:6" ht="14" x14ac:dyDescent="0.3">
      <c r="A42" s="318"/>
      <c r="B42" s="319"/>
      <c r="C42" s="319"/>
      <c r="D42" s="319"/>
      <c r="E42" s="319"/>
      <c r="F42" s="319"/>
    </row>
    <row r="43" spans="1:6" ht="14" x14ac:dyDescent="0.3">
      <c r="A43" s="318"/>
      <c r="B43" s="319"/>
      <c r="C43" s="319"/>
      <c r="D43" s="319"/>
      <c r="E43" s="319"/>
      <c r="F43" s="319"/>
    </row>
    <row r="44" spans="1:6" ht="14" x14ac:dyDescent="0.3">
      <c r="A44" s="318"/>
      <c r="B44" s="319"/>
      <c r="C44" s="319"/>
      <c r="D44" s="319"/>
      <c r="E44" s="319"/>
      <c r="F44" s="319"/>
    </row>
    <row r="45" spans="1:6" ht="14" x14ac:dyDescent="0.3">
      <c r="A45" s="318"/>
      <c r="B45" s="319"/>
      <c r="C45" s="319"/>
      <c r="D45" s="319"/>
      <c r="E45" s="319"/>
      <c r="F45" s="319"/>
    </row>
    <row r="46" spans="1:6" ht="14" x14ac:dyDescent="0.3">
      <c r="A46" s="320"/>
      <c r="B46" s="321"/>
      <c r="C46" s="464"/>
      <c r="D46" s="321"/>
      <c r="E46" s="321"/>
      <c r="F46" s="321"/>
    </row>
    <row r="47" spans="1:6" ht="14" x14ac:dyDescent="0.3">
      <c r="A47" s="322"/>
      <c r="B47" s="323"/>
      <c r="C47" s="323"/>
      <c r="D47" s="323"/>
      <c r="E47" s="323"/>
      <c r="F47" s="323"/>
    </row>
    <row r="48" spans="1:6" ht="14" x14ac:dyDescent="0.3">
      <c r="A48" s="324"/>
      <c r="B48" s="323"/>
      <c r="C48" s="323"/>
      <c r="D48" s="323"/>
      <c r="E48" s="323"/>
      <c r="F48" s="323"/>
    </row>
    <row r="49" spans="1:6" ht="14" x14ac:dyDescent="0.3">
      <c r="A49" s="322"/>
      <c r="B49" s="323"/>
      <c r="C49" s="323"/>
      <c r="D49" s="323"/>
      <c r="E49" s="323"/>
      <c r="F49" s="323"/>
    </row>
    <row r="50" spans="1:6" ht="14" x14ac:dyDescent="0.3">
      <c r="A50" s="322"/>
      <c r="B50" s="323"/>
      <c r="C50" s="323"/>
      <c r="D50" s="323"/>
      <c r="E50" s="323"/>
      <c r="F50" s="323"/>
    </row>
    <row r="51" spans="1:6" ht="14" x14ac:dyDescent="0.3">
      <c r="A51" s="322"/>
      <c r="B51" s="323"/>
      <c r="C51" s="323"/>
      <c r="D51" s="323"/>
      <c r="E51" s="323"/>
      <c r="F51" s="323"/>
    </row>
    <row r="52" spans="1:6" ht="14" x14ac:dyDescent="0.3">
      <c r="A52" s="322"/>
      <c r="B52" s="323"/>
      <c r="C52" s="323"/>
      <c r="D52" s="323"/>
      <c r="E52" s="323"/>
      <c r="F52" s="323"/>
    </row>
    <row r="53" spans="1:6" ht="14" x14ac:dyDescent="0.3">
      <c r="A53" s="203" t="s">
        <v>43</v>
      </c>
      <c r="B53" s="204">
        <f t="shared" ref="B53:F53" si="1">SUM(B41:B52)</f>
        <v>0</v>
      </c>
      <c r="C53" s="204">
        <f t="shared" si="1"/>
        <v>0</v>
      </c>
      <c r="D53" s="204">
        <f t="shared" si="1"/>
        <v>0</v>
      </c>
      <c r="E53" s="204">
        <f t="shared" si="1"/>
        <v>0</v>
      </c>
      <c r="F53" s="204">
        <f t="shared" si="1"/>
        <v>0</v>
      </c>
    </row>
    <row r="54" spans="1:6" ht="14" x14ac:dyDescent="0.3">
      <c r="A54" s="203"/>
      <c r="B54" s="204"/>
      <c r="C54" s="204"/>
      <c r="D54" s="204"/>
      <c r="E54" s="204"/>
      <c r="F54" s="204"/>
    </row>
    <row r="55" spans="1:6" ht="14" x14ac:dyDescent="0.3">
      <c r="A55" s="285" t="s">
        <v>208</v>
      </c>
      <c r="B55" s="325"/>
      <c r="C55" s="325"/>
      <c r="D55" s="325"/>
      <c r="E55" s="325"/>
      <c r="F55" s="325"/>
    </row>
    <row r="56" spans="1:6" ht="14" x14ac:dyDescent="0.3">
      <c r="A56" s="205"/>
      <c r="B56" s="206"/>
      <c r="C56" s="206"/>
      <c r="D56" s="206"/>
      <c r="E56" s="206"/>
      <c r="F56" s="206"/>
    </row>
    <row r="57" spans="1:6" ht="14" x14ac:dyDescent="0.3">
      <c r="A57" s="207" t="s">
        <v>23</v>
      </c>
      <c r="B57" s="208"/>
      <c r="C57" s="208"/>
      <c r="D57" s="208"/>
      <c r="E57" s="208"/>
      <c r="F57" s="208"/>
    </row>
    <row r="58" spans="1:6" ht="14" x14ac:dyDescent="0.3">
      <c r="A58" s="326"/>
      <c r="B58" s="327"/>
      <c r="C58" s="327"/>
      <c r="D58" s="327"/>
      <c r="E58" s="327"/>
      <c r="F58" s="327"/>
    </row>
    <row r="59" spans="1:6" ht="14" x14ac:dyDescent="0.3">
      <c r="A59" s="328"/>
      <c r="B59" s="327"/>
      <c r="C59" s="327"/>
      <c r="D59" s="327"/>
      <c r="E59" s="327"/>
      <c r="F59" s="327"/>
    </row>
    <row r="60" spans="1:6" ht="14" x14ac:dyDescent="0.3">
      <c r="A60" s="329"/>
      <c r="B60" s="330"/>
      <c r="C60" s="330"/>
      <c r="D60" s="330"/>
      <c r="E60" s="330"/>
      <c r="F60" s="330"/>
    </row>
    <row r="61" spans="1:6" ht="14" x14ac:dyDescent="0.3">
      <c r="A61" s="331"/>
      <c r="B61" s="327"/>
      <c r="C61" s="327"/>
      <c r="D61" s="327"/>
      <c r="E61" s="327"/>
      <c r="F61" s="327"/>
    </row>
    <row r="62" spans="1:6" ht="14" x14ac:dyDescent="0.3">
      <c r="A62" s="332"/>
      <c r="B62" s="327"/>
      <c r="C62" s="327"/>
      <c r="D62" s="327"/>
      <c r="E62" s="327"/>
      <c r="F62" s="327"/>
    </row>
    <row r="63" spans="1:6" ht="14" x14ac:dyDescent="0.3">
      <c r="A63" s="203" t="s">
        <v>43</v>
      </c>
      <c r="B63" s="204">
        <f>SUM(B58:B62)</f>
        <v>0</v>
      </c>
      <c r="C63" s="204">
        <f t="shared" ref="C63:F63" si="2">SUM(C58:C62)</f>
        <v>0</v>
      </c>
      <c r="D63" s="204">
        <f t="shared" si="2"/>
        <v>0</v>
      </c>
      <c r="E63" s="204">
        <f t="shared" si="2"/>
        <v>0</v>
      </c>
      <c r="F63" s="204">
        <f t="shared" si="2"/>
        <v>0</v>
      </c>
    </row>
    <row r="64" spans="1:6" ht="14" x14ac:dyDescent="0.3">
      <c r="A64" s="201"/>
      <c r="B64" s="209"/>
      <c r="C64" s="209"/>
      <c r="D64" s="209"/>
      <c r="E64" s="209"/>
      <c r="F64" s="209"/>
    </row>
    <row r="65" spans="1:6" ht="14" x14ac:dyDescent="0.3">
      <c r="A65" s="210" t="s">
        <v>21</v>
      </c>
      <c r="B65" s="208"/>
      <c r="C65" s="208"/>
      <c r="D65" s="208"/>
      <c r="E65" s="208"/>
      <c r="F65" s="208"/>
    </row>
    <row r="66" spans="1:6" ht="14" x14ac:dyDescent="0.3">
      <c r="A66" s="333"/>
      <c r="B66" s="334"/>
      <c r="C66" s="334"/>
      <c r="D66" s="334"/>
      <c r="E66" s="334"/>
      <c r="F66" s="334"/>
    </row>
    <row r="67" spans="1:6" ht="14" x14ac:dyDescent="0.3">
      <c r="A67" s="335"/>
      <c r="B67" s="336"/>
      <c r="C67" s="336"/>
      <c r="D67" s="336"/>
      <c r="E67" s="336"/>
      <c r="F67" s="336"/>
    </row>
    <row r="68" spans="1:6" ht="14" x14ac:dyDescent="0.3">
      <c r="A68" s="337"/>
      <c r="B68" s="336"/>
      <c r="C68" s="336"/>
      <c r="D68" s="336"/>
      <c r="E68" s="336"/>
      <c r="F68" s="336"/>
    </row>
    <row r="69" spans="1:6" ht="14" x14ac:dyDescent="0.3">
      <c r="A69" s="337"/>
      <c r="B69" s="336"/>
      <c r="C69" s="336"/>
      <c r="D69" s="336"/>
      <c r="E69" s="336"/>
      <c r="F69" s="336"/>
    </row>
    <row r="70" spans="1:6" ht="14" x14ac:dyDescent="0.3">
      <c r="A70" s="203" t="s">
        <v>43</v>
      </c>
      <c r="B70" s="204">
        <f>SUM(B66:B69)</f>
        <v>0</v>
      </c>
      <c r="C70" s="204">
        <f>SUM(C66:C69)</f>
        <v>0</v>
      </c>
      <c r="D70" s="204">
        <f>SUM(D66:D69)</f>
        <v>0</v>
      </c>
      <c r="E70" s="204">
        <f>SUM(E66:E69)</f>
        <v>0</v>
      </c>
      <c r="F70" s="204">
        <f>SUM(F66:F69)</f>
        <v>0</v>
      </c>
    </row>
    <row r="71" spans="1:6" ht="14" x14ac:dyDescent="0.3">
      <c r="A71" s="201"/>
      <c r="B71" s="202"/>
      <c r="C71" s="202"/>
      <c r="D71" s="202"/>
      <c r="E71" s="202"/>
      <c r="F71" s="202"/>
    </row>
    <row r="72" spans="1:6" ht="14" x14ac:dyDescent="0.3">
      <c r="A72" s="175" t="s">
        <v>108</v>
      </c>
      <c r="B72" s="211"/>
      <c r="C72" s="211"/>
      <c r="D72" s="211"/>
      <c r="E72" s="211"/>
      <c r="F72" s="211"/>
    </row>
    <row r="73" spans="1:6" ht="14" x14ac:dyDescent="0.3">
      <c r="A73" s="338"/>
      <c r="B73" s="339"/>
      <c r="C73" s="339"/>
      <c r="D73" s="339"/>
      <c r="E73" s="339"/>
      <c r="F73" s="339"/>
    </row>
    <row r="74" spans="1:6" ht="14" x14ac:dyDescent="0.3">
      <c r="A74" s="338"/>
      <c r="B74" s="339"/>
      <c r="C74" s="339"/>
      <c r="D74" s="339"/>
      <c r="E74" s="339"/>
      <c r="F74" s="339"/>
    </row>
    <row r="75" spans="1:6" ht="14" x14ac:dyDescent="0.3">
      <c r="A75" s="338"/>
      <c r="B75" s="339"/>
      <c r="C75" s="339"/>
      <c r="D75" s="339"/>
      <c r="E75" s="339"/>
      <c r="F75" s="339"/>
    </row>
    <row r="76" spans="1:6" ht="14" x14ac:dyDescent="0.3">
      <c r="A76" s="203" t="s">
        <v>43</v>
      </c>
      <c r="B76" s="204">
        <f>SUM(B73:B75)</f>
        <v>0</v>
      </c>
      <c r="C76" s="204">
        <f>SUM(C73:C75)</f>
        <v>0</v>
      </c>
      <c r="D76" s="204">
        <f>SUM(D73:D75)</f>
        <v>0</v>
      </c>
      <c r="E76" s="204">
        <f>SUM(E73:E75)</f>
        <v>0</v>
      </c>
      <c r="F76" s="204">
        <f>SUM(F73:F75)</f>
        <v>0</v>
      </c>
    </row>
    <row r="77" spans="1:6" ht="14" x14ac:dyDescent="0.3">
      <c r="A77" s="201"/>
      <c r="B77" s="202"/>
      <c r="C77" s="202"/>
      <c r="D77" s="202"/>
      <c r="E77" s="202"/>
      <c r="F77" s="202"/>
    </row>
    <row r="78" spans="1:6" ht="14" x14ac:dyDescent="0.3">
      <c r="A78" s="175" t="s">
        <v>109</v>
      </c>
      <c r="B78" s="211"/>
      <c r="C78" s="211"/>
      <c r="D78" s="211"/>
      <c r="E78" s="211"/>
      <c r="F78" s="211"/>
    </row>
    <row r="79" spans="1:6" ht="14" x14ac:dyDescent="0.3">
      <c r="A79" s="340"/>
      <c r="B79" s="341"/>
      <c r="C79" s="341"/>
      <c r="D79" s="341"/>
      <c r="E79" s="341"/>
      <c r="F79" s="341"/>
    </row>
    <row r="80" spans="1:6" ht="14" x14ac:dyDescent="0.3">
      <c r="A80" s="340"/>
      <c r="B80" s="341"/>
      <c r="C80" s="341"/>
      <c r="D80" s="341"/>
      <c r="E80" s="341"/>
      <c r="F80" s="341"/>
    </row>
    <row r="81" spans="1:9" ht="14" x14ac:dyDescent="0.3">
      <c r="A81" s="340"/>
      <c r="B81" s="341"/>
      <c r="C81" s="341"/>
      <c r="D81" s="341"/>
      <c r="E81" s="341"/>
      <c r="F81" s="341"/>
    </row>
    <row r="82" spans="1:9" ht="14" x14ac:dyDescent="0.3">
      <c r="A82" s="203" t="s">
        <v>43</v>
      </c>
      <c r="B82" s="204">
        <f>SUM(B79:B81)</f>
        <v>0</v>
      </c>
      <c r="C82" s="204">
        <f>SUM(C79:C81)</f>
        <v>0</v>
      </c>
      <c r="D82" s="204">
        <f>SUM(D79:D81)</f>
        <v>0</v>
      </c>
      <c r="E82" s="204">
        <f>SUM(E79:E81)</f>
        <v>0</v>
      </c>
      <c r="F82" s="204">
        <f>SUM(F79:F81)</f>
        <v>0</v>
      </c>
    </row>
    <row r="83" spans="1:9" ht="14" x14ac:dyDescent="0.3">
      <c r="A83" s="212"/>
    </row>
    <row r="84" spans="1:9" ht="14" hidden="1" x14ac:dyDescent="0.3">
      <c r="A84" s="284" t="s">
        <v>209</v>
      </c>
      <c r="B84" s="315"/>
      <c r="C84" s="315"/>
      <c r="D84" s="315"/>
      <c r="E84" s="315"/>
      <c r="F84" s="315"/>
      <c r="G84" s="282"/>
    </row>
    <row r="85" spans="1:9" ht="14" hidden="1" x14ac:dyDescent="0.3">
      <c r="A85" s="75"/>
    </row>
    <row r="86" spans="1:9" ht="14" x14ac:dyDescent="0.3">
      <c r="A86" s="213" t="s">
        <v>207</v>
      </c>
      <c r="B86" s="214"/>
      <c r="C86" s="214"/>
      <c r="D86" s="214"/>
      <c r="E86" s="214"/>
      <c r="F86" s="214"/>
    </row>
    <row r="87" spans="1:9" ht="14" x14ac:dyDescent="0.3">
      <c r="A87" s="465"/>
      <c r="B87" s="342"/>
      <c r="C87" s="342"/>
      <c r="D87" s="342"/>
      <c r="E87" s="342"/>
      <c r="F87" s="342"/>
    </row>
    <row r="88" spans="1:9" ht="14" x14ac:dyDescent="0.3">
      <c r="A88" s="466"/>
      <c r="B88" s="381"/>
      <c r="C88" s="381"/>
      <c r="D88" s="381"/>
      <c r="E88" s="381"/>
      <c r="F88" s="381"/>
    </row>
    <row r="89" spans="1:9" ht="14" x14ac:dyDescent="0.3">
      <c r="A89" s="467"/>
      <c r="B89" s="382"/>
      <c r="C89" s="382"/>
      <c r="D89" s="382"/>
      <c r="E89" s="382"/>
      <c r="F89" s="382"/>
    </row>
    <row r="90" spans="1:9" ht="14" x14ac:dyDescent="0.3">
      <c r="A90" s="467"/>
      <c r="B90" s="382"/>
      <c r="C90" s="382"/>
      <c r="D90" s="382"/>
      <c r="E90" s="382"/>
      <c r="F90" s="382"/>
    </row>
    <row r="91" spans="1:9" ht="14" x14ac:dyDescent="0.3">
      <c r="A91" s="467"/>
      <c r="B91" s="382"/>
      <c r="C91" s="382"/>
      <c r="D91" s="382"/>
      <c r="E91" s="382"/>
      <c r="F91" s="382"/>
      <c r="I91" s="75"/>
    </row>
    <row r="92" spans="1:9" ht="14" x14ac:dyDescent="0.3">
      <c r="A92" s="467"/>
      <c r="B92" s="382"/>
      <c r="C92" s="382"/>
      <c r="D92" s="382"/>
      <c r="E92" s="382"/>
      <c r="F92" s="382"/>
    </row>
    <row r="93" spans="1:9" ht="14" x14ac:dyDescent="0.3">
      <c r="A93" s="468"/>
      <c r="B93" s="343"/>
      <c r="C93" s="343"/>
      <c r="D93" s="343"/>
      <c r="E93" s="343"/>
      <c r="F93" s="343"/>
    </row>
    <row r="94" spans="1:9" ht="14" x14ac:dyDescent="0.3">
      <c r="A94" s="469"/>
      <c r="B94" s="344"/>
      <c r="C94" s="344"/>
      <c r="D94" s="344"/>
      <c r="E94" s="344"/>
      <c r="F94" s="344"/>
    </row>
    <row r="95" spans="1:9" ht="14" x14ac:dyDescent="0.3">
      <c r="A95" s="203" t="s">
        <v>43</v>
      </c>
      <c r="B95" s="204">
        <f>SUM(B87:B94)</f>
        <v>0</v>
      </c>
      <c r="C95" s="204">
        <f>SUM(C87:C94)</f>
        <v>0</v>
      </c>
      <c r="D95" s="204">
        <f>SUM(D87:D94)</f>
        <v>0</v>
      </c>
      <c r="E95" s="204">
        <f>SUM(E87:E94)</f>
        <v>0</v>
      </c>
      <c r="F95" s="204">
        <f>SUM(F87:F94)</f>
        <v>0</v>
      </c>
    </row>
    <row r="96" spans="1:9" ht="14" x14ac:dyDescent="0.3">
      <c r="A96" s="215"/>
      <c r="B96" s="216"/>
      <c r="C96" s="216"/>
      <c r="D96" s="216"/>
      <c r="E96" s="216"/>
      <c r="F96" s="216"/>
      <c r="G96" s="75"/>
    </row>
    <row r="97" spans="1:16" ht="14" x14ac:dyDescent="0.3">
      <c r="A97" s="217" t="s">
        <v>111</v>
      </c>
      <c r="B97" s="214"/>
      <c r="C97" s="214"/>
      <c r="D97" s="214"/>
      <c r="E97" s="214"/>
      <c r="F97" s="214"/>
      <c r="G97" s="75"/>
    </row>
    <row r="98" spans="1:16" ht="14" x14ac:dyDescent="0.3">
      <c r="A98" s="345"/>
      <c r="B98" s="346"/>
      <c r="C98" s="346"/>
      <c r="D98" s="346"/>
      <c r="E98" s="346"/>
      <c r="F98" s="346"/>
      <c r="G98" s="218"/>
    </row>
    <row r="99" spans="1:16" ht="14" x14ac:dyDescent="0.3">
      <c r="A99" s="347"/>
      <c r="B99" s="346"/>
      <c r="C99" s="346"/>
      <c r="D99" s="346"/>
      <c r="E99" s="346"/>
      <c r="F99" s="346"/>
    </row>
    <row r="100" spans="1:16" ht="14" x14ac:dyDescent="0.3">
      <c r="A100" s="345"/>
      <c r="B100" s="346"/>
      <c r="C100" s="346"/>
      <c r="D100" s="346"/>
      <c r="E100" s="346"/>
      <c r="F100" s="346"/>
    </row>
    <row r="101" spans="1:16" ht="14" x14ac:dyDescent="0.3">
      <c r="A101" s="345"/>
      <c r="B101" s="346"/>
      <c r="C101" s="346"/>
      <c r="D101" s="346"/>
      <c r="E101" s="346"/>
      <c r="F101" s="346"/>
    </row>
    <row r="102" spans="1:16" ht="14" x14ac:dyDescent="0.3">
      <c r="A102" s="203" t="s">
        <v>43</v>
      </c>
      <c r="B102" s="204">
        <f>SUM(B98:B101)</f>
        <v>0</v>
      </c>
      <c r="C102" s="204">
        <f>SUM(C98:C101)</f>
        <v>0</v>
      </c>
      <c r="D102" s="204">
        <f>SUM(D98:D101)</f>
        <v>0</v>
      </c>
      <c r="E102" s="204">
        <f>SUM(E98:E101)</f>
        <v>0</v>
      </c>
      <c r="F102" s="204">
        <f>SUM(F98:F101)</f>
        <v>0</v>
      </c>
    </row>
    <row r="103" spans="1:16" ht="14" x14ac:dyDescent="0.3">
      <c r="A103" s="219"/>
      <c r="B103" s="220"/>
      <c r="C103" s="220"/>
      <c r="D103" s="220"/>
      <c r="E103" s="220"/>
      <c r="F103" s="220"/>
      <c r="G103" s="75"/>
      <c r="P103" s="420"/>
    </row>
    <row r="104" spans="1:16" ht="14" x14ac:dyDescent="0.3">
      <c r="A104" s="221" t="s">
        <v>181</v>
      </c>
      <c r="B104" s="222"/>
      <c r="G104" s="75"/>
      <c r="P104" s="421"/>
    </row>
    <row r="105" spans="1:16" ht="14" x14ac:dyDescent="0.3">
      <c r="A105" s="348" t="s">
        <v>247</v>
      </c>
      <c r="B105" s="349"/>
      <c r="C105" s="349"/>
      <c r="D105" s="349"/>
      <c r="E105" s="349"/>
      <c r="F105" s="349"/>
    </row>
    <row r="106" spans="1:16" ht="14" x14ac:dyDescent="0.3">
      <c r="A106" s="348" t="s">
        <v>227</v>
      </c>
      <c r="B106" s="349"/>
      <c r="C106" s="349"/>
      <c r="D106" s="349"/>
      <c r="E106" s="349"/>
      <c r="F106" s="349"/>
    </row>
    <row r="107" spans="1:16" ht="14" x14ac:dyDescent="0.3">
      <c r="A107" s="348" t="s">
        <v>228</v>
      </c>
      <c r="B107" s="349"/>
      <c r="C107" s="349"/>
      <c r="D107" s="349"/>
      <c r="E107" s="349"/>
      <c r="F107" s="349"/>
    </row>
    <row r="108" spans="1:16" ht="14" x14ac:dyDescent="0.3">
      <c r="A108" s="348" t="s">
        <v>229</v>
      </c>
      <c r="B108" s="349"/>
      <c r="C108" s="349"/>
      <c r="D108" s="349"/>
      <c r="E108" s="349"/>
      <c r="F108" s="349"/>
    </row>
    <row r="109" spans="1:16" ht="14" x14ac:dyDescent="0.3">
      <c r="A109" s="496"/>
      <c r="B109" s="500"/>
      <c r="C109" s="500"/>
      <c r="D109" s="500"/>
      <c r="E109" s="500"/>
      <c r="F109" s="499"/>
      <c r="G109" s="75"/>
    </row>
    <row r="110" spans="1:16" ht="14" x14ac:dyDescent="0.3">
      <c r="A110" s="497"/>
      <c r="B110" s="211"/>
      <c r="C110" s="211"/>
      <c r="D110" s="498"/>
      <c r="E110" s="498"/>
      <c r="F110" s="498"/>
    </row>
    <row r="111" spans="1:16" ht="14" x14ac:dyDescent="0.3"/>
    <row r="112" spans="1:16" ht="14" x14ac:dyDescent="0.3"/>
    <row r="113" spans="1:6" ht="14" x14ac:dyDescent="0.3"/>
    <row r="114" spans="1:6" ht="14" x14ac:dyDescent="0.3"/>
    <row r="115" spans="1:6" ht="14" x14ac:dyDescent="0.3"/>
    <row r="116" spans="1:6" ht="14" x14ac:dyDescent="0.3"/>
    <row r="117" spans="1:6" s="75" customFormat="1" ht="14" x14ac:dyDescent="0.3"/>
    <row r="118" spans="1:6" s="75" customFormat="1" ht="14" x14ac:dyDescent="0.3">
      <c r="B118" s="211"/>
      <c r="C118" s="211"/>
      <c r="D118" s="211"/>
      <c r="E118" s="211"/>
      <c r="F118" s="211"/>
    </row>
    <row r="119" spans="1:6" s="75" customFormat="1" ht="14" x14ac:dyDescent="0.3">
      <c r="B119" s="211"/>
      <c r="C119" s="211"/>
      <c r="D119" s="211"/>
      <c r="E119" s="211"/>
      <c r="F119" s="211"/>
    </row>
    <row r="120" spans="1:6" s="75" customFormat="1" ht="14" x14ac:dyDescent="0.3">
      <c r="B120" s="211"/>
      <c r="C120" s="211"/>
      <c r="D120" s="211"/>
      <c r="E120" s="211"/>
      <c r="F120" s="211"/>
    </row>
    <row r="121" spans="1:6" s="75" customFormat="1" ht="14" x14ac:dyDescent="0.3">
      <c r="B121" s="211"/>
      <c r="C121" s="211"/>
      <c r="D121" s="211"/>
      <c r="E121" s="211"/>
      <c r="F121" s="211"/>
    </row>
    <row r="122" spans="1:6" s="75" customFormat="1" ht="14" x14ac:dyDescent="0.3">
      <c r="A122" s="201"/>
      <c r="B122" s="202"/>
      <c r="C122" s="202"/>
      <c r="D122" s="202"/>
      <c r="E122" s="202"/>
      <c r="F122" s="202"/>
    </row>
    <row r="123" spans="1:6" s="75" customFormat="1" ht="14" x14ac:dyDescent="0.3"/>
    <row r="124" spans="1:6" s="75" customFormat="1" ht="14" x14ac:dyDescent="0.3"/>
    <row r="125" spans="1:6" s="75" customFormat="1" ht="14" x14ac:dyDescent="0.3">
      <c r="B125" s="211"/>
      <c r="C125" s="211"/>
      <c r="D125" s="211"/>
      <c r="E125" s="211"/>
      <c r="F125" s="211"/>
    </row>
    <row r="126" spans="1:6" s="75" customFormat="1" ht="14" x14ac:dyDescent="0.3">
      <c r="B126" s="211"/>
      <c r="C126" s="211"/>
      <c r="D126" s="211"/>
      <c r="E126" s="211"/>
      <c r="F126" s="211"/>
    </row>
    <row r="127" spans="1:6" s="75" customFormat="1" ht="14" x14ac:dyDescent="0.3">
      <c r="B127" s="211"/>
      <c r="C127" s="211"/>
      <c r="D127" s="211"/>
      <c r="E127" s="211"/>
      <c r="F127" s="211"/>
    </row>
    <row r="128" spans="1:6" s="75" customFormat="1" ht="14" x14ac:dyDescent="0.3">
      <c r="B128" s="211"/>
      <c r="C128" s="211"/>
      <c r="D128" s="211"/>
      <c r="E128" s="211"/>
      <c r="F128" s="211"/>
    </row>
    <row r="129" spans="1:6" s="75" customFormat="1" ht="14" x14ac:dyDescent="0.3">
      <c r="A129" s="201"/>
      <c r="B129" s="202"/>
      <c r="C129" s="202"/>
      <c r="D129" s="202"/>
      <c r="E129" s="202"/>
      <c r="F129" s="202"/>
    </row>
    <row r="130" spans="1:6" ht="14" x14ac:dyDescent="0.3"/>
    <row r="131" spans="1:6" ht="14" x14ac:dyDescent="0.3"/>
    <row r="132" spans="1:6" ht="14" x14ac:dyDescent="0.3"/>
    <row r="133" spans="1:6" ht="14" x14ac:dyDescent="0.3"/>
    <row r="134" spans="1:6" ht="14" x14ac:dyDescent="0.3"/>
    <row r="135" spans="1:6" ht="14" x14ac:dyDescent="0.3"/>
    <row r="136" spans="1:6" ht="14" x14ac:dyDescent="0.3"/>
    <row r="137" spans="1:6" ht="14" x14ac:dyDescent="0.3"/>
    <row r="138" spans="1:6" ht="14" x14ac:dyDescent="0.3"/>
    <row r="139" spans="1:6" ht="14" x14ac:dyDescent="0.3"/>
    <row r="140" spans="1:6" ht="14" x14ac:dyDescent="0.3"/>
    <row r="141" spans="1:6" ht="14" x14ac:dyDescent="0.3"/>
    <row r="142" spans="1:6" ht="14" x14ac:dyDescent="0.3"/>
    <row r="143" spans="1:6" ht="14" x14ac:dyDescent="0.3"/>
    <row r="144" spans="1:6" ht="14" x14ac:dyDescent="0.3"/>
    <row r="145" ht="14" x14ac:dyDescent="0.3"/>
    <row r="146" ht="14" x14ac:dyDescent="0.3"/>
    <row r="147" ht="14" x14ac:dyDescent="0.3"/>
    <row r="148" ht="14" x14ac:dyDescent="0.3"/>
    <row r="149" ht="14" x14ac:dyDescent="0.3"/>
    <row r="150" ht="14" x14ac:dyDescent="0.3"/>
    <row r="151" ht="14" x14ac:dyDescent="0.3"/>
    <row r="152" ht="14" x14ac:dyDescent="0.3"/>
    <row r="153" ht="14" x14ac:dyDescent="0.3"/>
    <row r="154" ht="14" x14ac:dyDescent="0.3"/>
    <row r="155" ht="14" x14ac:dyDescent="0.3"/>
    <row r="156" ht="14" x14ac:dyDescent="0.3"/>
    <row r="157" ht="14" x14ac:dyDescent="0.3"/>
    <row r="158" ht="14" x14ac:dyDescent="0.3"/>
    <row r="159" ht="14" x14ac:dyDescent="0.3"/>
    <row r="160" ht="14" x14ac:dyDescent="0.3"/>
    <row r="161" ht="14" x14ac:dyDescent="0.3"/>
    <row r="162" ht="14" x14ac:dyDescent="0.3"/>
    <row r="163" ht="14" x14ac:dyDescent="0.3"/>
    <row r="164" ht="14" x14ac:dyDescent="0.3"/>
    <row r="165" ht="14" x14ac:dyDescent="0.3"/>
    <row r="166" ht="14" x14ac:dyDescent="0.3"/>
    <row r="167" ht="14" x14ac:dyDescent="0.3"/>
    <row r="168" ht="14" x14ac:dyDescent="0.3"/>
    <row r="169" ht="14" x14ac:dyDescent="0.3"/>
    <row r="170" ht="14" x14ac:dyDescent="0.3"/>
    <row r="171" ht="14" x14ac:dyDescent="0.3"/>
    <row r="172" ht="14" x14ac:dyDescent="0.3"/>
    <row r="173" ht="14" x14ac:dyDescent="0.3"/>
    <row r="174" ht="14" x14ac:dyDescent="0.3"/>
    <row r="175" ht="14" x14ac:dyDescent="0.3"/>
    <row r="176" ht="14" x14ac:dyDescent="0.3"/>
    <row r="177" ht="14" x14ac:dyDescent="0.3"/>
    <row r="178" ht="14" x14ac:dyDescent="0.3"/>
    <row r="179" ht="14" x14ac:dyDescent="0.3"/>
    <row r="180" ht="14" x14ac:dyDescent="0.3"/>
    <row r="181" ht="14" x14ac:dyDescent="0.3"/>
    <row r="182" ht="14" x14ac:dyDescent="0.3"/>
    <row r="183" ht="14" x14ac:dyDescent="0.3"/>
    <row r="184" ht="14" x14ac:dyDescent="0.3"/>
    <row r="185" ht="14" x14ac:dyDescent="0.3"/>
    <row r="186" ht="14" x14ac:dyDescent="0.3"/>
    <row r="187" ht="14" x14ac:dyDescent="0.3"/>
    <row r="188" ht="14" x14ac:dyDescent="0.3"/>
    <row r="189" ht="14" x14ac:dyDescent="0.3"/>
    <row r="190" ht="14" x14ac:dyDescent="0.3"/>
    <row r="191" ht="14" x14ac:dyDescent="0.3"/>
    <row r="192" ht="14" x14ac:dyDescent="0.3"/>
    <row r="193" ht="14" x14ac:dyDescent="0.3"/>
    <row r="194" ht="14" x14ac:dyDescent="0.3"/>
    <row r="195" ht="14" x14ac:dyDescent="0.3"/>
    <row r="196" ht="14" x14ac:dyDescent="0.3"/>
    <row r="197" ht="14" x14ac:dyDescent="0.3"/>
    <row r="198" ht="14" x14ac:dyDescent="0.3"/>
    <row r="199" ht="14" x14ac:dyDescent="0.3"/>
    <row r="200" ht="14" x14ac:dyDescent="0.3"/>
    <row r="201" ht="14" x14ac:dyDescent="0.3"/>
    <row r="202" ht="14" x14ac:dyDescent="0.3"/>
    <row r="203" ht="14" x14ac:dyDescent="0.3"/>
    <row r="204" ht="14" x14ac:dyDescent="0.3"/>
    <row r="205" ht="14" x14ac:dyDescent="0.3"/>
    <row r="206" ht="14" x14ac:dyDescent="0.3"/>
    <row r="207" ht="14" x14ac:dyDescent="0.3"/>
    <row r="208" ht="14" x14ac:dyDescent="0.3"/>
    <row r="209" ht="14" x14ac:dyDescent="0.3"/>
    <row r="210" ht="14" x14ac:dyDescent="0.3"/>
    <row r="211" ht="14" x14ac:dyDescent="0.3"/>
    <row r="212" ht="14" x14ac:dyDescent="0.3"/>
    <row r="213" ht="14" x14ac:dyDescent="0.3"/>
    <row r="214" ht="14" x14ac:dyDescent="0.3"/>
    <row r="215" ht="14" x14ac:dyDescent="0.3"/>
    <row r="216" ht="14" x14ac:dyDescent="0.3"/>
    <row r="217" ht="14" x14ac:dyDescent="0.3"/>
    <row r="218" ht="14" x14ac:dyDescent="0.3"/>
    <row r="219" ht="14" x14ac:dyDescent="0.3"/>
    <row r="220" ht="14" x14ac:dyDescent="0.3"/>
    <row r="221" ht="14" x14ac:dyDescent="0.3"/>
    <row r="222" ht="14" x14ac:dyDescent="0.3"/>
    <row r="223" ht="14" x14ac:dyDescent="0.3"/>
    <row r="224" ht="14" x14ac:dyDescent="0.3"/>
    <row r="225" ht="14" x14ac:dyDescent="0.3"/>
    <row r="226" ht="14" x14ac:dyDescent="0.3"/>
    <row r="227" ht="14" x14ac:dyDescent="0.3"/>
    <row r="228" ht="14" x14ac:dyDescent="0.3"/>
    <row r="229" ht="14" x14ac:dyDescent="0.3"/>
    <row r="230" ht="14" x14ac:dyDescent="0.3"/>
    <row r="231" ht="14" x14ac:dyDescent="0.3"/>
    <row r="232" ht="14" x14ac:dyDescent="0.3"/>
    <row r="233" ht="14" x14ac:dyDescent="0.3"/>
    <row r="234" ht="14" x14ac:dyDescent="0.3"/>
    <row r="235" ht="14" x14ac:dyDescent="0.3"/>
    <row r="236" ht="14" x14ac:dyDescent="0.3"/>
    <row r="237" ht="14" x14ac:dyDescent="0.3"/>
    <row r="238" ht="14" x14ac:dyDescent="0.3"/>
    <row r="239" ht="14" x14ac:dyDescent="0.3"/>
    <row r="240" ht="14" x14ac:dyDescent="0.3"/>
    <row r="241" ht="14" x14ac:dyDescent="0.3"/>
    <row r="242" ht="14" x14ac:dyDescent="0.3"/>
    <row r="243" ht="14" x14ac:dyDescent="0.3"/>
    <row r="244" ht="14" x14ac:dyDescent="0.3"/>
    <row r="245" ht="14" x14ac:dyDescent="0.3"/>
    <row r="246" ht="14" x14ac:dyDescent="0.3"/>
    <row r="247" ht="14" x14ac:dyDescent="0.3"/>
    <row r="248" ht="14" x14ac:dyDescent="0.3"/>
    <row r="249" ht="14" x14ac:dyDescent="0.3"/>
    <row r="250" ht="14" x14ac:dyDescent="0.3"/>
    <row r="251" ht="14" x14ac:dyDescent="0.3"/>
    <row r="252" ht="14" x14ac:dyDescent="0.3"/>
    <row r="253" ht="14" x14ac:dyDescent="0.3"/>
    <row r="254" ht="14" x14ac:dyDescent="0.3"/>
    <row r="255" ht="14" x14ac:dyDescent="0.3"/>
    <row r="256" ht="14" x14ac:dyDescent="0.3"/>
    <row r="257" ht="14" x14ac:dyDescent="0.3"/>
    <row r="258" ht="14" x14ac:dyDescent="0.3"/>
    <row r="259" ht="14" x14ac:dyDescent="0.3"/>
    <row r="260" ht="14" x14ac:dyDescent="0.3"/>
    <row r="261" ht="14" x14ac:dyDescent="0.3"/>
    <row r="262" ht="14" x14ac:dyDescent="0.3"/>
    <row r="263" ht="14" x14ac:dyDescent="0.3"/>
    <row r="264" ht="14" x14ac:dyDescent="0.3"/>
    <row r="265" ht="14" x14ac:dyDescent="0.3"/>
    <row r="266" ht="14" x14ac:dyDescent="0.3"/>
    <row r="267" ht="14" x14ac:dyDescent="0.3"/>
    <row r="268" ht="14" x14ac:dyDescent="0.3"/>
    <row r="269" ht="14" x14ac:dyDescent="0.3"/>
    <row r="270" ht="14" x14ac:dyDescent="0.3"/>
    <row r="271" ht="14" x14ac:dyDescent="0.3"/>
    <row r="272" ht="14" x14ac:dyDescent="0.3"/>
    <row r="273" ht="14" x14ac:dyDescent="0.3"/>
    <row r="274" ht="14" x14ac:dyDescent="0.3"/>
    <row r="275" ht="14" x14ac:dyDescent="0.3"/>
    <row r="276" ht="14" x14ac:dyDescent="0.3"/>
    <row r="277" ht="14" x14ac:dyDescent="0.3"/>
    <row r="278" ht="14" x14ac:dyDescent="0.3"/>
    <row r="279" ht="14" x14ac:dyDescent="0.3"/>
    <row r="280" ht="14" x14ac:dyDescent="0.3"/>
    <row r="281" ht="14" x14ac:dyDescent="0.3"/>
    <row r="282" ht="14" x14ac:dyDescent="0.3"/>
    <row r="283" ht="14" x14ac:dyDescent="0.3"/>
    <row r="284" ht="14" x14ac:dyDescent="0.3"/>
    <row r="285" ht="14" x14ac:dyDescent="0.3"/>
    <row r="286" ht="14" x14ac:dyDescent="0.3"/>
    <row r="287" ht="14" x14ac:dyDescent="0.3"/>
    <row r="288" ht="14" x14ac:dyDescent="0.3"/>
    <row r="289" ht="14" x14ac:dyDescent="0.3"/>
    <row r="290" ht="14" x14ac:dyDescent="0.3"/>
    <row r="291" ht="14" x14ac:dyDescent="0.3"/>
    <row r="292" ht="14" x14ac:dyDescent="0.3"/>
    <row r="293" ht="14" x14ac:dyDescent="0.3"/>
    <row r="294" ht="14" x14ac:dyDescent="0.3"/>
    <row r="295" ht="14" x14ac:dyDescent="0.3"/>
    <row r="296" ht="14" x14ac:dyDescent="0.3"/>
    <row r="297" ht="14" x14ac:dyDescent="0.3"/>
    <row r="298" ht="14" x14ac:dyDescent="0.3"/>
    <row r="299" ht="14" x14ac:dyDescent="0.3"/>
    <row r="300" ht="14" x14ac:dyDescent="0.3"/>
    <row r="301" ht="14" x14ac:dyDescent="0.3"/>
    <row r="302" ht="14" x14ac:dyDescent="0.3"/>
    <row r="303" ht="14" x14ac:dyDescent="0.3"/>
    <row r="304" ht="14" x14ac:dyDescent="0.3"/>
    <row r="305" ht="14" x14ac:dyDescent="0.3"/>
    <row r="306" ht="14" x14ac:dyDescent="0.3"/>
    <row r="307" ht="14" x14ac:dyDescent="0.3"/>
    <row r="308" ht="14" x14ac:dyDescent="0.3"/>
    <row r="309" ht="14" x14ac:dyDescent="0.3"/>
    <row r="310" ht="14" x14ac:dyDescent="0.3"/>
    <row r="311" ht="14" x14ac:dyDescent="0.3"/>
    <row r="312" ht="14" x14ac:dyDescent="0.3"/>
    <row r="313" ht="14" x14ac:dyDescent="0.3"/>
    <row r="314" ht="14" x14ac:dyDescent="0.3"/>
    <row r="315" ht="14" x14ac:dyDescent="0.3"/>
    <row r="316" ht="14" x14ac:dyDescent="0.3"/>
    <row r="317" ht="14" x14ac:dyDescent="0.3"/>
    <row r="318" ht="14" x14ac:dyDescent="0.3"/>
    <row r="319" ht="14" x14ac:dyDescent="0.3"/>
    <row r="320" ht="14" x14ac:dyDescent="0.3"/>
    <row r="321" ht="14" x14ac:dyDescent="0.3"/>
    <row r="322" ht="14" x14ac:dyDescent="0.3"/>
    <row r="323" ht="14" x14ac:dyDescent="0.3"/>
    <row r="324" ht="14" x14ac:dyDescent="0.3"/>
    <row r="325" ht="14" x14ac:dyDescent="0.3"/>
    <row r="326" ht="14" x14ac:dyDescent="0.3"/>
    <row r="327" ht="14" x14ac:dyDescent="0.3"/>
    <row r="328" ht="14" x14ac:dyDescent="0.3"/>
    <row r="329" ht="14" x14ac:dyDescent="0.3"/>
    <row r="330" ht="14" x14ac:dyDescent="0.3"/>
    <row r="331" ht="14" x14ac:dyDescent="0.3"/>
    <row r="332" ht="14" x14ac:dyDescent="0.3"/>
    <row r="333" ht="14" x14ac:dyDescent="0.3"/>
    <row r="334" ht="14" x14ac:dyDescent="0.3"/>
    <row r="335" ht="14" x14ac:dyDescent="0.3"/>
    <row r="336" ht="14" x14ac:dyDescent="0.3"/>
    <row r="337" ht="14" x14ac:dyDescent="0.3"/>
    <row r="338" ht="14" x14ac:dyDescent="0.3"/>
    <row r="339" ht="14" x14ac:dyDescent="0.3"/>
    <row r="340" ht="14" x14ac:dyDescent="0.3"/>
    <row r="341" ht="14" x14ac:dyDescent="0.3"/>
    <row r="342" ht="14" x14ac:dyDescent="0.3"/>
    <row r="343" ht="14" x14ac:dyDescent="0.3"/>
    <row r="344" ht="14" x14ac:dyDescent="0.3"/>
    <row r="345" ht="14" x14ac:dyDescent="0.3"/>
    <row r="346" ht="14" x14ac:dyDescent="0.3"/>
    <row r="347" ht="14" x14ac:dyDescent="0.3"/>
    <row r="348" ht="14" x14ac:dyDescent="0.3"/>
    <row r="349" ht="14" x14ac:dyDescent="0.3"/>
    <row r="350" ht="14" x14ac:dyDescent="0.3"/>
    <row r="351" ht="14" x14ac:dyDescent="0.3"/>
    <row r="352" ht="14" x14ac:dyDescent="0.3"/>
    <row r="353" ht="14" x14ac:dyDescent="0.3"/>
    <row r="354" ht="14" x14ac:dyDescent="0.3"/>
    <row r="355" ht="14" x14ac:dyDescent="0.3"/>
    <row r="356" ht="14" x14ac:dyDescent="0.3"/>
    <row r="357" ht="14" x14ac:dyDescent="0.3"/>
    <row r="358" ht="14" x14ac:dyDescent="0.3"/>
    <row r="359" ht="14" x14ac:dyDescent="0.3"/>
    <row r="360" ht="14" x14ac:dyDescent="0.3"/>
    <row r="361" ht="14" x14ac:dyDescent="0.3"/>
    <row r="362" ht="14" x14ac:dyDescent="0.3"/>
    <row r="363" ht="14" x14ac:dyDescent="0.3"/>
    <row r="364" ht="14" x14ac:dyDescent="0.3"/>
    <row r="365" ht="14" x14ac:dyDescent="0.3"/>
    <row r="366" ht="14" x14ac:dyDescent="0.3"/>
    <row r="367" ht="14" x14ac:dyDescent="0.3"/>
    <row r="368" ht="14" x14ac:dyDescent="0.3"/>
    <row r="369" ht="14" x14ac:dyDescent="0.3"/>
    <row r="370" ht="14" x14ac:dyDescent="0.3"/>
    <row r="371" ht="14" x14ac:dyDescent="0.3"/>
    <row r="372" ht="14" x14ac:dyDescent="0.3"/>
    <row r="373" ht="14" x14ac:dyDescent="0.3"/>
    <row r="374" ht="14" x14ac:dyDescent="0.3"/>
    <row r="375" ht="14" x14ac:dyDescent="0.3"/>
    <row r="376" ht="14" x14ac:dyDescent="0.3"/>
    <row r="377" ht="14" x14ac:dyDescent="0.3"/>
    <row r="378" ht="14" x14ac:dyDescent="0.3"/>
    <row r="379" ht="14" x14ac:dyDescent="0.3"/>
    <row r="380" ht="14" x14ac:dyDescent="0.3"/>
    <row r="381" ht="14" x14ac:dyDescent="0.3"/>
    <row r="382" ht="14" x14ac:dyDescent="0.3"/>
    <row r="383" ht="14" x14ac:dyDescent="0.3"/>
    <row r="384" ht="14" x14ac:dyDescent="0.3"/>
    <row r="385" ht="14" x14ac:dyDescent="0.3"/>
    <row r="386" ht="14" x14ac:dyDescent="0.3"/>
    <row r="387" ht="14" x14ac:dyDescent="0.3"/>
    <row r="388" ht="14" x14ac:dyDescent="0.3"/>
    <row r="389" ht="14" x14ac:dyDescent="0.3"/>
    <row r="390" ht="14" x14ac:dyDescent="0.3"/>
    <row r="391" ht="14" x14ac:dyDescent="0.3"/>
    <row r="392" ht="14" x14ac:dyDescent="0.3"/>
    <row r="393" ht="14" x14ac:dyDescent="0.3"/>
    <row r="394" ht="14" x14ac:dyDescent="0.3"/>
    <row r="395" ht="14" x14ac:dyDescent="0.3"/>
    <row r="396" ht="14" x14ac:dyDescent="0.3"/>
    <row r="397" ht="14" x14ac:dyDescent="0.3"/>
    <row r="398" ht="14" x14ac:dyDescent="0.3"/>
    <row r="399" ht="14" x14ac:dyDescent="0.3"/>
    <row r="400" ht="14" x14ac:dyDescent="0.3"/>
    <row r="401" ht="14" x14ac:dyDescent="0.3"/>
    <row r="402" ht="14" x14ac:dyDescent="0.3"/>
    <row r="403" ht="14" x14ac:dyDescent="0.3"/>
    <row r="404" ht="14" x14ac:dyDescent="0.3"/>
    <row r="405" ht="14" x14ac:dyDescent="0.3"/>
    <row r="406" ht="14" x14ac:dyDescent="0.3"/>
    <row r="407" ht="14" x14ac:dyDescent="0.3"/>
    <row r="408" ht="14" x14ac:dyDescent="0.3"/>
    <row r="409" ht="14" x14ac:dyDescent="0.3"/>
    <row r="410" ht="14" x14ac:dyDescent="0.3"/>
    <row r="411" ht="14" x14ac:dyDescent="0.3"/>
    <row r="412" ht="14" x14ac:dyDescent="0.3"/>
    <row r="413" ht="14" x14ac:dyDescent="0.3"/>
    <row r="414" ht="14" x14ac:dyDescent="0.3"/>
    <row r="415" ht="14" x14ac:dyDescent="0.3"/>
    <row r="416" ht="14" x14ac:dyDescent="0.3"/>
    <row r="417" ht="14" x14ac:dyDescent="0.3"/>
    <row r="418" ht="14" x14ac:dyDescent="0.3"/>
    <row r="419" ht="14" x14ac:dyDescent="0.3"/>
    <row r="420" ht="14" x14ac:dyDescent="0.3"/>
    <row r="421" ht="14" x14ac:dyDescent="0.3"/>
    <row r="422" ht="14" x14ac:dyDescent="0.3"/>
    <row r="423" ht="14" x14ac:dyDescent="0.3"/>
    <row r="424" ht="14" x14ac:dyDescent="0.3"/>
    <row r="425" ht="14" x14ac:dyDescent="0.3"/>
    <row r="426" ht="14" x14ac:dyDescent="0.3"/>
    <row r="427" ht="14" x14ac:dyDescent="0.3"/>
    <row r="428" ht="14" x14ac:dyDescent="0.3"/>
    <row r="429" ht="14" x14ac:dyDescent="0.3"/>
    <row r="430" ht="14" x14ac:dyDescent="0.3"/>
    <row r="431" ht="14" x14ac:dyDescent="0.3"/>
    <row r="432" ht="14" x14ac:dyDescent="0.3"/>
    <row r="433" ht="14" x14ac:dyDescent="0.3"/>
    <row r="434" ht="14" x14ac:dyDescent="0.3"/>
    <row r="435" ht="14" x14ac:dyDescent="0.3"/>
    <row r="436" ht="14" x14ac:dyDescent="0.3"/>
    <row r="437" ht="14" x14ac:dyDescent="0.3"/>
    <row r="438" ht="14" x14ac:dyDescent="0.3"/>
    <row r="439" ht="14" x14ac:dyDescent="0.3"/>
    <row r="440" ht="14" x14ac:dyDescent="0.3"/>
    <row r="441" ht="14" x14ac:dyDescent="0.3"/>
    <row r="442" ht="14" x14ac:dyDescent="0.3"/>
    <row r="443" ht="14" x14ac:dyDescent="0.3"/>
    <row r="444" ht="14" x14ac:dyDescent="0.3"/>
    <row r="445" ht="14" x14ac:dyDescent="0.3"/>
    <row r="446" ht="14" x14ac:dyDescent="0.3"/>
    <row r="447" ht="14" x14ac:dyDescent="0.3"/>
    <row r="448" ht="14" x14ac:dyDescent="0.3"/>
    <row r="449" ht="14" x14ac:dyDescent="0.3"/>
    <row r="450" ht="14" x14ac:dyDescent="0.3"/>
    <row r="451" ht="14" x14ac:dyDescent="0.3"/>
    <row r="452" ht="14" x14ac:dyDescent="0.3"/>
    <row r="453" ht="14" x14ac:dyDescent="0.3"/>
    <row r="454" ht="14" x14ac:dyDescent="0.3"/>
    <row r="455" ht="14" x14ac:dyDescent="0.3"/>
    <row r="456" ht="14" x14ac:dyDescent="0.3"/>
    <row r="457" ht="14" x14ac:dyDescent="0.3"/>
    <row r="458" ht="14" x14ac:dyDescent="0.3"/>
    <row r="459" ht="14" x14ac:dyDescent="0.3"/>
    <row r="460" ht="14" x14ac:dyDescent="0.3"/>
    <row r="461" ht="14" x14ac:dyDescent="0.3"/>
    <row r="462" ht="14" x14ac:dyDescent="0.3"/>
    <row r="463" ht="14" x14ac:dyDescent="0.3"/>
    <row r="464" ht="14" x14ac:dyDescent="0.3"/>
    <row r="465" ht="14" x14ac:dyDescent="0.3"/>
    <row r="466" ht="14" x14ac:dyDescent="0.3"/>
    <row r="467" ht="14" x14ac:dyDescent="0.3"/>
    <row r="468" ht="14" x14ac:dyDescent="0.3"/>
    <row r="469" ht="14" x14ac:dyDescent="0.3"/>
    <row r="470" ht="14" x14ac:dyDescent="0.3"/>
    <row r="471" ht="14" x14ac:dyDescent="0.3"/>
    <row r="472" ht="14" x14ac:dyDescent="0.3"/>
    <row r="473" ht="14" x14ac:dyDescent="0.3"/>
    <row r="474" ht="14" x14ac:dyDescent="0.3"/>
    <row r="475" ht="14" x14ac:dyDescent="0.3"/>
    <row r="476" ht="14" x14ac:dyDescent="0.3"/>
    <row r="477" ht="14" x14ac:dyDescent="0.3"/>
    <row r="478" ht="14" x14ac:dyDescent="0.3"/>
    <row r="479" ht="14" x14ac:dyDescent="0.3"/>
    <row r="480" ht="14" x14ac:dyDescent="0.3"/>
    <row r="481" ht="14" x14ac:dyDescent="0.3"/>
    <row r="482" ht="14" x14ac:dyDescent="0.3"/>
    <row r="483" ht="14" x14ac:dyDescent="0.3"/>
    <row r="484" ht="14" x14ac:dyDescent="0.3"/>
    <row r="485" ht="14" x14ac:dyDescent="0.3"/>
    <row r="486" ht="14" x14ac:dyDescent="0.3"/>
    <row r="487" ht="14" x14ac:dyDescent="0.3"/>
    <row r="488" ht="14" x14ac:dyDescent="0.3"/>
    <row r="489" ht="14" x14ac:dyDescent="0.3"/>
    <row r="490" ht="14" x14ac:dyDescent="0.3"/>
    <row r="491" ht="14" x14ac:dyDescent="0.3"/>
    <row r="492" ht="14" x14ac:dyDescent="0.3"/>
    <row r="493" ht="14" x14ac:dyDescent="0.3"/>
    <row r="494" ht="14" x14ac:dyDescent="0.3"/>
    <row r="495" ht="14" x14ac:dyDescent="0.3"/>
    <row r="496" ht="14" x14ac:dyDescent="0.3"/>
    <row r="497" ht="14" x14ac:dyDescent="0.3"/>
    <row r="498" ht="14" x14ac:dyDescent="0.3"/>
    <row r="499" ht="14" x14ac:dyDescent="0.3"/>
    <row r="500" ht="14" x14ac:dyDescent="0.3"/>
    <row r="501" ht="14" x14ac:dyDescent="0.3"/>
    <row r="502" ht="14" x14ac:dyDescent="0.3"/>
    <row r="503" ht="14" x14ac:dyDescent="0.3"/>
    <row r="504" ht="14" x14ac:dyDescent="0.3"/>
    <row r="505" ht="14" x14ac:dyDescent="0.3"/>
    <row r="506" ht="14" x14ac:dyDescent="0.3"/>
    <row r="507" ht="14" x14ac:dyDescent="0.3"/>
    <row r="508" ht="14" x14ac:dyDescent="0.3"/>
    <row r="509" ht="14" x14ac:dyDescent="0.3"/>
    <row r="510" ht="14" x14ac:dyDescent="0.3"/>
    <row r="511" ht="14" x14ac:dyDescent="0.3"/>
    <row r="512" ht="14" x14ac:dyDescent="0.3"/>
    <row r="513" ht="14" x14ac:dyDescent="0.3"/>
    <row r="514" ht="14" x14ac:dyDescent="0.3"/>
    <row r="515" ht="14" x14ac:dyDescent="0.3"/>
    <row r="516" ht="14" x14ac:dyDescent="0.3"/>
    <row r="517" ht="14" x14ac:dyDescent="0.3"/>
    <row r="518" ht="14" x14ac:dyDescent="0.3"/>
    <row r="519" ht="14" x14ac:dyDescent="0.3"/>
    <row r="520" ht="14" x14ac:dyDescent="0.3"/>
    <row r="521" ht="14" x14ac:dyDescent="0.3"/>
    <row r="522" ht="14" x14ac:dyDescent="0.3"/>
    <row r="523" ht="14" x14ac:dyDescent="0.3"/>
    <row r="524" ht="14" x14ac:dyDescent="0.3"/>
    <row r="525" ht="14" x14ac:dyDescent="0.3"/>
    <row r="526" ht="14" x14ac:dyDescent="0.3"/>
    <row r="527" ht="14" x14ac:dyDescent="0.3"/>
    <row r="528" ht="14" x14ac:dyDescent="0.3"/>
    <row r="529" ht="14" x14ac:dyDescent="0.3"/>
    <row r="530" ht="14" x14ac:dyDescent="0.3"/>
    <row r="531" ht="14" x14ac:dyDescent="0.3"/>
    <row r="532" ht="14" x14ac:dyDescent="0.3"/>
    <row r="533" ht="14" x14ac:dyDescent="0.3"/>
    <row r="534" ht="14" x14ac:dyDescent="0.3"/>
    <row r="535" ht="14" x14ac:dyDescent="0.3"/>
    <row r="536" ht="14" x14ac:dyDescent="0.3"/>
    <row r="537" ht="14" x14ac:dyDescent="0.3"/>
    <row r="538" ht="14" x14ac:dyDescent="0.3"/>
    <row r="539" ht="14" x14ac:dyDescent="0.3"/>
    <row r="540" ht="14" x14ac:dyDescent="0.3"/>
    <row r="541" ht="14" x14ac:dyDescent="0.3"/>
    <row r="542" ht="14" x14ac:dyDescent="0.3"/>
    <row r="543" ht="14" x14ac:dyDescent="0.3"/>
    <row r="544" ht="14" x14ac:dyDescent="0.3"/>
    <row r="545" ht="14" x14ac:dyDescent="0.3"/>
    <row r="546" ht="14" x14ac:dyDescent="0.3"/>
    <row r="547" ht="14" x14ac:dyDescent="0.3"/>
    <row r="548" ht="14" x14ac:dyDescent="0.3"/>
    <row r="549" ht="14" x14ac:dyDescent="0.3"/>
    <row r="550" ht="14" x14ac:dyDescent="0.3"/>
    <row r="551" ht="14" x14ac:dyDescent="0.3"/>
    <row r="552" ht="14" x14ac:dyDescent="0.3"/>
    <row r="553" ht="14" x14ac:dyDescent="0.3"/>
    <row r="554" ht="14" x14ac:dyDescent="0.3"/>
    <row r="555" ht="14" x14ac:dyDescent="0.3"/>
    <row r="556" ht="14" x14ac:dyDescent="0.3"/>
    <row r="557" ht="14" x14ac:dyDescent="0.3"/>
    <row r="558" ht="14" x14ac:dyDescent="0.3"/>
    <row r="559" ht="14" x14ac:dyDescent="0.3"/>
    <row r="560" ht="14" x14ac:dyDescent="0.3"/>
    <row r="561" ht="14" x14ac:dyDescent="0.3"/>
    <row r="562" ht="14" x14ac:dyDescent="0.3"/>
    <row r="563" ht="14" x14ac:dyDescent="0.3"/>
    <row r="564" ht="14" x14ac:dyDescent="0.3"/>
    <row r="565" ht="14" x14ac:dyDescent="0.3"/>
    <row r="566" ht="14" x14ac:dyDescent="0.3"/>
    <row r="567" ht="14" x14ac:dyDescent="0.3"/>
    <row r="568" ht="14" x14ac:dyDescent="0.3"/>
    <row r="569" ht="14" x14ac:dyDescent="0.3"/>
    <row r="570" ht="14" x14ac:dyDescent="0.3"/>
    <row r="571" ht="14" x14ac:dyDescent="0.3"/>
    <row r="572" ht="14" x14ac:dyDescent="0.3"/>
    <row r="573" ht="14" x14ac:dyDescent="0.3"/>
    <row r="574" ht="14" x14ac:dyDescent="0.3"/>
    <row r="575" ht="14" x14ac:dyDescent="0.3"/>
    <row r="576" ht="14" x14ac:dyDescent="0.3"/>
    <row r="577" ht="14" x14ac:dyDescent="0.3"/>
    <row r="578" ht="14" x14ac:dyDescent="0.3"/>
    <row r="579" ht="14" x14ac:dyDescent="0.3"/>
    <row r="580" ht="14" x14ac:dyDescent="0.3"/>
    <row r="581" ht="14" x14ac:dyDescent="0.3"/>
    <row r="582" ht="14" x14ac:dyDescent="0.3"/>
    <row r="583" ht="14" x14ac:dyDescent="0.3"/>
    <row r="584" ht="14" x14ac:dyDescent="0.3"/>
    <row r="585" ht="14" x14ac:dyDescent="0.3"/>
    <row r="586" ht="14" x14ac:dyDescent="0.3"/>
    <row r="587" ht="14" x14ac:dyDescent="0.3"/>
    <row r="588" ht="14" x14ac:dyDescent="0.3"/>
    <row r="589" ht="14" x14ac:dyDescent="0.3"/>
    <row r="590" ht="14" x14ac:dyDescent="0.3"/>
    <row r="591" ht="14" x14ac:dyDescent="0.3"/>
    <row r="592" ht="14" x14ac:dyDescent="0.3"/>
    <row r="593" ht="14" x14ac:dyDescent="0.3"/>
    <row r="594" ht="14" x14ac:dyDescent="0.3"/>
    <row r="595" ht="14" x14ac:dyDescent="0.3"/>
    <row r="596" ht="14" x14ac:dyDescent="0.3"/>
    <row r="597" ht="14" x14ac:dyDescent="0.3"/>
    <row r="598" ht="14" x14ac:dyDescent="0.3"/>
    <row r="599" ht="14" x14ac:dyDescent="0.3"/>
    <row r="600" ht="14" x14ac:dyDescent="0.3"/>
    <row r="601" ht="14" x14ac:dyDescent="0.3"/>
    <row r="602" ht="14" x14ac:dyDescent="0.3"/>
    <row r="603" ht="14" x14ac:dyDescent="0.3"/>
    <row r="604" ht="14" x14ac:dyDescent="0.3"/>
    <row r="605" ht="14" x14ac:dyDescent="0.3"/>
    <row r="606" ht="14" x14ac:dyDescent="0.3"/>
    <row r="607" ht="14" x14ac:dyDescent="0.3"/>
    <row r="608" ht="14" x14ac:dyDescent="0.3"/>
    <row r="609" ht="14" x14ac:dyDescent="0.3"/>
    <row r="610" ht="14" x14ac:dyDescent="0.3"/>
    <row r="611" ht="14" x14ac:dyDescent="0.3"/>
    <row r="612" ht="14" x14ac:dyDescent="0.3"/>
    <row r="613" ht="14" x14ac:dyDescent="0.3"/>
    <row r="614" ht="14" x14ac:dyDescent="0.3"/>
    <row r="615" ht="14" x14ac:dyDescent="0.3"/>
    <row r="616" ht="14" x14ac:dyDescent="0.3"/>
    <row r="617" ht="14" x14ac:dyDescent="0.3"/>
    <row r="618" ht="14" x14ac:dyDescent="0.3"/>
    <row r="619" ht="14" x14ac:dyDescent="0.3"/>
    <row r="620" ht="14" x14ac:dyDescent="0.3"/>
    <row r="621" ht="14" x14ac:dyDescent="0.3"/>
    <row r="622" ht="14" x14ac:dyDescent="0.3"/>
    <row r="623" ht="14" x14ac:dyDescent="0.3"/>
    <row r="624" ht="14" x14ac:dyDescent="0.3"/>
    <row r="625" ht="14" x14ac:dyDescent="0.3"/>
    <row r="626" ht="14" x14ac:dyDescent="0.3"/>
    <row r="627" ht="14" x14ac:dyDescent="0.3"/>
    <row r="628" ht="14" x14ac:dyDescent="0.3"/>
    <row r="629" ht="14" x14ac:dyDescent="0.3"/>
    <row r="630" ht="14" x14ac:dyDescent="0.3"/>
    <row r="631" ht="14" x14ac:dyDescent="0.3"/>
    <row r="632" ht="14" x14ac:dyDescent="0.3"/>
    <row r="633" ht="14" x14ac:dyDescent="0.3"/>
    <row r="634" ht="14" x14ac:dyDescent="0.3"/>
    <row r="635" ht="14" x14ac:dyDescent="0.3"/>
    <row r="636" ht="14" x14ac:dyDescent="0.3"/>
    <row r="637" ht="14" x14ac:dyDescent="0.3"/>
    <row r="638" ht="14" x14ac:dyDescent="0.3"/>
    <row r="639" ht="14" x14ac:dyDescent="0.3"/>
    <row r="640" ht="14" x14ac:dyDescent="0.3"/>
    <row r="641" ht="14" x14ac:dyDescent="0.3"/>
    <row r="642" ht="14" x14ac:dyDescent="0.3"/>
    <row r="643" ht="14" x14ac:dyDescent="0.3"/>
    <row r="644" ht="14" x14ac:dyDescent="0.3"/>
    <row r="645" ht="14" x14ac:dyDescent="0.3"/>
    <row r="646" ht="14" x14ac:dyDescent="0.3"/>
    <row r="647" ht="14" x14ac:dyDescent="0.3"/>
    <row r="648" ht="14" x14ac:dyDescent="0.3"/>
    <row r="649" ht="14" x14ac:dyDescent="0.3"/>
    <row r="650" ht="14" x14ac:dyDescent="0.3"/>
    <row r="651" ht="14" x14ac:dyDescent="0.3"/>
    <row r="652" ht="14" x14ac:dyDescent="0.3"/>
    <row r="653" ht="14" x14ac:dyDescent="0.3"/>
    <row r="654" ht="14" x14ac:dyDescent="0.3"/>
    <row r="655" ht="14" x14ac:dyDescent="0.3"/>
    <row r="656" ht="14" x14ac:dyDescent="0.3"/>
    <row r="657" ht="14" x14ac:dyDescent="0.3"/>
    <row r="658" ht="14" x14ac:dyDescent="0.3"/>
    <row r="659" ht="14" x14ac:dyDescent="0.3"/>
    <row r="660" ht="14" x14ac:dyDescent="0.3"/>
    <row r="661" ht="14" x14ac:dyDescent="0.3"/>
    <row r="662" ht="14" x14ac:dyDescent="0.3"/>
    <row r="663" ht="14" x14ac:dyDescent="0.3"/>
    <row r="664" ht="14" x14ac:dyDescent="0.3"/>
    <row r="665" ht="14" x14ac:dyDescent="0.3"/>
    <row r="666" ht="14" x14ac:dyDescent="0.3"/>
    <row r="667" ht="14" x14ac:dyDescent="0.3"/>
    <row r="668" ht="14" x14ac:dyDescent="0.3"/>
    <row r="669" ht="14" x14ac:dyDescent="0.3"/>
    <row r="670" ht="14" x14ac:dyDescent="0.3"/>
    <row r="671" ht="14" x14ac:dyDescent="0.3"/>
    <row r="672" ht="14" x14ac:dyDescent="0.3"/>
    <row r="673" ht="14" x14ac:dyDescent="0.3"/>
    <row r="674" ht="14" x14ac:dyDescent="0.3"/>
    <row r="675" ht="14" x14ac:dyDescent="0.3"/>
    <row r="676" ht="14" x14ac:dyDescent="0.3"/>
    <row r="677" ht="14" x14ac:dyDescent="0.3"/>
    <row r="678" ht="14" x14ac:dyDescent="0.3"/>
    <row r="679" ht="14" x14ac:dyDescent="0.3"/>
    <row r="680" ht="14" x14ac:dyDescent="0.3"/>
    <row r="681" ht="14" x14ac:dyDescent="0.3"/>
    <row r="682" ht="14" x14ac:dyDescent="0.3"/>
    <row r="683" ht="14" x14ac:dyDescent="0.3"/>
    <row r="684" ht="14" x14ac:dyDescent="0.3"/>
    <row r="685" ht="14" x14ac:dyDescent="0.3"/>
    <row r="686" ht="14" x14ac:dyDescent="0.3"/>
    <row r="687" ht="14" x14ac:dyDescent="0.3"/>
    <row r="688" ht="14" x14ac:dyDescent="0.3"/>
    <row r="689" ht="14" x14ac:dyDescent="0.3"/>
    <row r="690" ht="14" x14ac:dyDescent="0.3"/>
    <row r="691" ht="14" x14ac:dyDescent="0.3"/>
    <row r="692" ht="14" x14ac:dyDescent="0.3"/>
    <row r="693" ht="14" x14ac:dyDescent="0.3"/>
    <row r="694" ht="14" x14ac:dyDescent="0.3"/>
    <row r="695" ht="14" x14ac:dyDescent="0.3"/>
    <row r="696" ht="14" x14ac:dyDescent="0.3"/>
    <row r="697" ht="14" x14ac:dyDescent="0.3"/>
    <row r="698" ht="14" x14ac:dyDescent="0.3"/>
    <row r="699" ht="14" x14ac:dyDescent="0.3"/>
    <row r="700" ht="14" x14ac:dyDescent="0.3"/>
    <row r="701" ht="14" x14ac:dyDescent="0.3"/>
    <row r="702" ht="14" x14ac:dyDescent="0.3"/>
    <row r="703" ht="14" x14ac:dyDescent="0.3"/>
    <row r="704" ht="14" x14ac:dyDescent="0.3"/>
    <row r="705" ht="14" x14ac:dyDescent="0.3"/>
    <row r="706" ht="14" x14ac:dyDescent="0.3"/>
    <row r="707" ht="14" x14ac:dyDescent="0.3"/>
    <row r="708" ht="14" x14ac:dyDescent="0.3"/>
    <row r="709" ht="14" x14ac:dyDescent="0.3"/>
    <row r="710" ht="14" x14ac:dyDescent="0.3"/>
    <row r="711" ht="14" x14ac:dyDescent="0.3"/>
    <row r="712" ht="14" x14ac:dyDescent="0.3"/>
    <row r="713" ht="14" x14ac:dyDescent="0.3"/>
    <row r="714" ht="14" x14ac:dyDescent="0.3"/>
    <row r="715" ht="14" x14ac:dyDescent="0.3"/>
    <row r="716" ht="14" x14ac:dyDescent="0.3"/>
    <row r="717" ht="14" x14ac:dyDescent="0.3"/>
    <row r="718" ht="14" x14ac:dyDescent="0.3"/>
    <row r="719" ht="14" x14ac:dyDescent="0.3"/>
    <row r="720" ht="14" x14ac:dyDescent="0.3"/>
    <row r="721" ht="14" x14ac:dyDescent="0.3"/>
    <row r="722" ht="14" x14ac:dyDescent="0.3"/>
    <row r="723" ht="14" x14ac:dyDescent="0.3"/>
    <row r="724" ht="14" x14ac:dyDescent="0.3"/>
    <row r="725" ht="14" x14ac:dyDescent="0.3"/>
    <row r="726" ht="14" x14ac:dyDescent="0.3"/>
    <row r="727" ht="14" x14ac:dyDescent="0.3"/>
    <row r="728" ht="14" x14ac:dyDescent="0.3"/>
    <row r="729" ht="14" x14ac:dyDescent="0.3"/>
    <row r="730" ht="14" x14ac:dyDescent="0.3"/>
    <row r="731" ht="14" x14ac:dyDescent="0.3"/>
    <row r="732" ht="14" x14ac:dyDescent="0.3"/>
    <row r="733" ht="14" x14ac:dyDescent="0.3"/>
    <row r="734" ht="14" x14ac:dyDescent="0.3"/>
    <row r="735" ht="14" x14ac:dyDescent="0.3"/>
    <row r="736" ht="14" x14ac:dyDescent="0.3"/>
    <row r="737" ht="14" x14ac:dyDescent="0.3"/>
    <row r="738" ht="14" x14ac:dyDescent="0.3"/>
    <row r="739" ht="14" x14ac:dyDescent="0.3"/>
    <row r="740" ht="14" x14ac:dyDescent="0.3"/>
    <row r="741" ht="14" x14ac:dyDescent="0.3"/>
    <row r="742" ht="14" x14ac:dyDescent="0.3"/>
    <row r="743" ht="14" x14ac:dyDescent="0.3"/>
    <row r="744" ht="14" x14ac:dyDescent="0.3"/>
    <row r="745" ht="14" x14ac:dyDescent="0.3"/>
    <row r="746" ht="14" x14ac:dyDescent="0.3"/>
    <row r="747" ht="14" x14ac:dyDescent="0.3"/>
    <row r="748" ht="14" x14ac:dyDescent="0.3"/>
    <row r="749" ht="14" x14ac:dyDescent="0.3"/>
    <row r="750" ht="14" x14ac:dyDescent="0.3"/>
    <row r="751" ht="14" x14ac:dyDescent="0.3"/>
    <row r="752" ht="14" x14ac:dyDescent="0.3"/>
    <row r="753" ht="14" x14ac:dyDescent="0.3"/>
    <row r="754" ht="14" x14ac:dyDescent="0.3"/>
    <row r="755" ht="14" x14ac:dyDescent="0.3"/>
    <row r="756" ht="14" x14ac:dyDescent="0.3"/>
    <row r="757" ht="14" x14ac:dyDescent="0.3"/>
    <row r="758" ht="14" x14ac:dyDescent="0.3"/>
    <row r="759" ht="14" x14ac:dyDescent="0.3"/>
    <row r="760" ht="14" x14ac:dyDescent="0.3"/>
    <row r="761" ht="14" x14ac:dyDescent="0.3"/>
    <row r="762" ht="14" x14ac:dyDescent="0.3"/>
    <row r="763" ht="14" x14ac:dyDescent="0.3"/>
    <row r="764" ht="14" x14ac:dyDescent="0.3"/>
    <row r="765" ht="14" x14ac:dyDescent="0.3"/>
    <row r="766" ht="14" x14ac:dyDescent="0.3"/>
    <row r="767" ht="14" x14ac:dyDescent="0.3"/>
    <row r="768" ht="14" x14ac:dyDescent="0.3"/>
    <row r="769" ht="14" x14ac:dyDescent="0.3"/>
    <row r="770" ht="14" x14ac:dyDescent="0.3"/>
    <row r="771" ht="14" x14ac:dyDescent="0.3"/>
    <row r="772" ht="14" x14ac:dyDescent="0.3"/>
    <row r="773" ht="14" x14ac:dyDescent="0.3"/>
    <row r="774" ht="14" x14ac:dyDescent="0.3"/>
    <row r="775" ht="14" x14ac:dyDescent="0.3"/>
    <row r="776" ht="14" x14ac:dyDescent="0.3"/>
    <row r="777" ht="14" x14ac:dyDescent="0.3"/>
    <row r="778" ht="14" x14ac:dyDescent="0.3"/>
    <row r="779" ht="14" x14ac:dyDescent="0.3"/>
    <row r="780" ht="14" x14ac:dyDescent="0.3"/>
    <row r="781" ht="14" x14ac:dyDescent="0.3"/>
    <row r="782" ht="14" x14ac:dyDescent="0.3"/>
    <row r="783" ht="14" x14ac:dyDescent="0.3"/>
    <row r="784" ht="14" x14ac:dyDescent="0.3"/>
    <row r="785" ht="14" x14ac:dyDescent="0.3"/>
    <row r="786" ht="14" x14ac:dyDescent="0.3"/>
    <row r="787" ht="14" x14ac:dyDescent="0.3"/>
    <row r="788" ht="14" x14ac:dyDescent="0.3"/>
    <row r="789" ht="14" x14ac:dyDescent="0.3"/>
    <row r="790" ht="14" x14ac:dyDescent="0.3"/>
    <row r="791" ht="14" x14ac:dyDescent="0.3"/>
    <row r="792" ht="14" x14ac:dyDescent="0.3"/>
    <row r="793" ht="14" x14ac:dyDescent="0.3"/>
    <row r="794" ht="14" x14ac:dyDescent="0.3"/>
    <row r="795" ht="14" x14ac:dyDescent="0.3"/>
    <row r="796" ht="14" x14ac:dyDescent="0.3"/>
    <row r="797" ht="14" x14ac:dyDescent="0.3"/>
    <row r="798" ht="14" x14ac:dyDescent="0.3"/>
    <row r="799" ht="14" x14ac:dyDescent="0.3"/>
    <row r="800" ht="14" x14ac:dyDescent="0.3"/>
    <row r="801" ht="14" x14ac:dyDescent="0.3"/>
    <row r="802" ht="14" x14ac:dyDescent="0.3"/>
    <row r="803" ht="14" x14ac:dyDescent="0.3"/>
    <row r="804" ht="14" x14ac:dyDescent="0.3"/>
    <row r="805" ht="14" x14ac:dyDescent="0.3"/>
    <row r="806" ht="14" x14ac:dyDescent="0.3"/>
    <row r="807" ht="14" x14ac:dyDescent="0.3"/>
    <row r="808" ht="14" x14ac:dyDescent="0.3"/>
    <row r="809" ht="14" x14ac:dyDescent="0.3"/>
    <row r="810" ht="14" x14ac:dyDescent="0.3"/>
    <row r="811" ht="14" x14ac:dyDescent="0.3"/>
    <row r="812" ht="14" x14ac:dyDescent="0.3"/>
    <row r="813" ht="14" x14ac:dyDescent="0.3"/>
    <row r="814" ht="14" x14ac:dyDescent="0.3"/>
    <row r="815" ht="14" x14ac:dyDescent="0.3"/>
    <row r="816" ht="14" x14ac:dyDescent="0.3"/>
    <row r="817" ht="14" x14ac:dyDescent="0.3"/>
    <row r="818" ht="14" x14ac:dyDescent="0.3"/>
    <row r="819" ht="14" x14ac:dyDescent="0.3"/>
    <row r="820" ht="14" x14ac:dyDescent="0.3"/>
    <row r="821" ht="14" x14ac:dyDescent="0.3"/>
    <row r="822" ht="14" x14ac:dyDescent="0.3"/>
    <row r="823" ht="14" x14ac:dyDescent="0.3"/>
    <row r="824" ht="14" x14ac:dyDescent="0.3"/>
    <row r="825" ht="14" x14ac:dyDescent="0.3"/>
    <row r="826" ht="14" x14ac:dyDescent="0.3"/>
    <row r="827" ht="14" x14ac:dyDescent="0.3"/>
    <row r="828" ht="14" x14ac:dyDescent="0.3"/>
    <row r="829" ht="14" x14ac:dyDescent="0.3"/>
    <row r="830" ht="14" x14ac:dyDescent="0.3"/>
    <row r="831" ht="14" x14ac:dyDescent="0.3"/>
    <row r="832" ht="14" x14ac:dyDescent="0.3"/>
    <row r="833" ht="14" x14ac:dyDescent="0.3"/>
    <row r="834" ht="14" x14ac:dyDescent="0.3"/>
    <row r="835" ht="14" x14ac:dyDescent="0.3"/>
    <row r="836" ht="14" x14ac:dyDescent="0.3"/>
    <row r="837" ht="14" x14ac:dyDescent="0.3"/>
    <row r="838" ht="14" x14ac:dyDescent="0.3"/>
    <row r="839" ht="14" x14ac:dyDescent="0.3"/>
    <row r="840" ht="14" x14ac:dyDescent="0.3"/>
    <row r="841" ht="14" x14ac:dyDescent="0.3"/>
    <row r="842" ht="14" x14ac:dyDescent="0.3"/>
    <row r="843" ht="14" x14ac:dyDescent="0.3"/>
    <row r="844" ht="14" x14ac:dyDescent="0.3"/>
    <row r="845" ht="14" x14ac:dyDescent="0.3"/>
    <row r="846" ht="14" x14ac:dyDescent="0.3"/>
    <row r="847" ht="14" x14ac:dyDescent="0.3"/>
    <row r="848" ht="14" x14ac:dyDescent="0.3"/>
    <row r="849" ht="14" x14ac:dyDescent="0.3"/>
    <row r="850" ht="14" x14ac:dyDescent="0.3"/>
    <row r="851" ht="14" x14ac:dyDescent="0.3"/>
    <row r="852" ht="14" x14ac:dyDescent="0.3"/>
    <row r="853" ht="14" x14ac:dyDescent="0.3"/>
    <row r="854" ht="14" x14ac:dyDescent="0.3"/>
    <row r="855" ht="14" x14ac:dyDescent="0.3"/>
    <row r="856" ht="14" x14ac:dyDescent="0.3"/>
    <row r="857" ht="14" x14ac:dyDescent="0.3"/>
    <row r="858" ht="14" x14ac:dyDescent="0.3"/>
    <row r="859" ht="14" x14ac:dyDescent="0.3"/>
    <row r="860" ht="14" x14ac:dyDescent="0.3"/>
    <row r="861" ht="14" x14ac:dyDescent="0.3"/>
    <row r="862" ht="14" x14ac:dyDescent="0.3"/>
    <row r="863" ht="14" x14ac:dyDescent="0.3"/>
    <row r="864" ht="14" x14ac:dyDescent="0.3"/>
    <row r="865" ht="14" x14ac:dyDescent="0.3"/>
    <row r="866" ht="14" x14ac:dyDescent="0.3"/>
    <row r="867" ht="14" x14ac:dyDescent="0.3"/>
    <row r="868" ht="14" x14ac:dyDescent="0.3"/>
    <row r="869" ht="14" x14ac:dyDescent="0.3"/>
    <row r="870" ht="14" x14ac:dyDescent="0.3"/>
    <row r="871" ht="14" x14ac:dyDescent="0.3"/>
    <row r="872" ht="14" x14ac:dyDescent="0.3"/>
    <row r="873" ht="14" x14ac:dyDescent="0.3"/>
    <row r="874" ht="14" x14ac:dyDescent="0.3"/>
    <row r="875" ht="14" x14ac:dyDescent="0.3"/>
    <row r="876" ht="14" x14ac:dyDescent="0.3"/>
    <row r="877" ht="14" x14ac:dyDescent="0.3"/>
    <row r="878" ht="14" x14ac:dyDescent="0.3"/>
    <row r="879" ht="14" x14ac:dyDescent="0.3"/>
    <row r="880" ht="14" x14ac:dyDescent="0.3"/>
    <row r="881" ht="14" x14ac:dyDescent="0.3"/>
    <row r="882" ht="14" x14ac:dyDescent="0.3"/>
    <row r="883" ht="14" x14ac:dyDescent="0.3"/>
    <row r="884" ht="14" x14ac:dyDescent="0.3"/>
    <row r="885" ht="14" x14ac:dyDescent="0.3"/>
    <row r="886" ht="14" x14ac:dyDescent="0.3"/>
    <row r="887" ht="14" x14ac:dyDescent="0.3"/>
    <row r="888" ht="14" x14ac:dyDescent="0.3"/>
    <row r="889" ht="14" x14ac:dyDescent="0.3"/>
    <row r="890" ht="14" x14ac:dyDescent="0.3"/>
    <row r="891" ht="14" x14ac:dyDescent="0.3"/>
    <row r="892" ht="14" x14ac:dyDescent="0.3"/>
    <row r="893" ht="14" x14ac:dyDescent="0.3"/>
    <row r="894" ht="14" x14ac:dyDescent="0.3"/>
    <row r="895" ht="14" x14ac:dyDescent="0.3"/>
    <row r="896" ht="14" x14ac:dyDescent="0.3"/>
    <row r="897" ht="14" x14ac:dyDescent="0.3"/>
    <row r="898" ht="14" x14ac:dyDescent="0.3"/>
    <row r="899" ht="14" x14ac:dyDescent="0.3"/>
    <row r="900" ht="14" x14ac:dyDescent="0.3"/>
    <row r="901" ht="14" x14ac:dyDescent="0.3"/>
    <row r="902" ht="14" x14ac:dyDescent="0.3"/>
    <row r="903" ht="14" x14ac:dyDescent="0.3"/>
    <row r="904" ht="14" x14ac:dyDescent="0.3"/>
    <row r="905" ht="14" x14ac:dyDescent="0.3"/>
    <row r="906" ht="14" x14ac:dyDescent="0.3"/>
    <row r="907" ht="14" x14ac:dyDescent="0.3"/>
    <row r="908" ht="14" x14ac:dyDescent="0.3"/>
    <row r="909" ht="14" x14ac:dyDescent="0.3"/>
    <row r="910" ht="14" x14ac:dyDescent="0.3"/>
    <row r="911" ht="14" x14ac:dyDescent="0.3"/>
    <row r="912" ht="14" x14ac:dyDescent="0.3"/>
    <row r="913" ht="14" x14ac:dyDescent="0.3"/>
    <row r="914" ht="14" x14ac:dyDescent="0.3"/>
    <row r="915" ht="14" x14ac:dyDescent="0.3"/>
    <row r="916" ht="14" x14ac:dyDescent="0.3"/>
    <row r="917" ht="14" x14ac:dyDescent="0.3"/>
    <row r="918" ht="14" x14ac:dyDescent="0.3"/>
    <row r="919" ht="14" x14ac:dyDescent="0.3"/>
    <row r="920" ht="14" x14ac:dyDescent="0.3"/>
    <row r="921" ht="14" x14ac:dyDescent="0.3"/>
    <row r="922" ht="14" x14ac:dyDescent="0.3"/>
    <row r="923" ht="14" x14ac:dyDescent="0.3"/>
    <row r="924" ht="14" x14ac:dyDescent="0.3"/>
    <row r="925" ht="14" x14ac:dyDescent="0.3"/>
    <row r="926" ht="14" x14ac:dyDescent="0.3"/>
    <row r="927" ht="14" x14ac:dyDescent="0.3"/>
    <row r="928" ht="14" x14ac:dyDescent="0.3"/>
    <row r="929" ht="14" x14ac:dyDescent="0.3"/>
    <row r="930" ht="14" x14ac:dyDescent="0.3"/>
    <row r="931" ht="14" x14ac:dyDescent="0.3"/>
    <row r="932" ht="14" x14ac:dyDescent="0.3"/>
    <row r="933" ht="14" x14ac:dyDescent="0.3"/>
    <row r="934" ht="14" x14ac:dyDescent="0.3"/>
    <row r="935" ht="14" x14ac:dyDescent="0.3"/>
    <row r="936" ht="14" x14ac:dyDescent="0.3"/>
    <row r="937" ht="14" x14ac:dyDescent="0.3"/>
    <row r="938" ht="14" x14ac:dyDescent="0.3"/>
    <row r="939" ht="14" x14ac:dyDescent="0.3"/>
    <row r="940" ht="14" x14ac:dyDescent="0.3"/>
    <row r="941" ht="14" x14ac:dyDescent="0.3"/>
    <row r="942" ht="14" x14ac:dyDescent="0.3"/>
    <row r="943" ht="14" x14ac:dyDescent="0.3"/>
    <row r="944" ht="14" x14ac:dyDescent="0.3"/>
    <row r="945" ht="14" x14ac:dyDescent="0.3"/>
    <row r="946" ht="14" x14ac:dyDescent="0.3"/>
    <row r="947" ht="14" x14ac:dyDescent="0.3"/>
    <row r="948" ht="14" x14ac:dyDescent="0.3"/>
    <row r="949" ht="14" x14ac:dyDescent="0.3"/>
    <row r="950" ht="14" x14ac:dyDescent="0.3"/>
    <row r="951" ht="14" x14ac:dyDescent="0.3"/>
    <row r="952" ht="14" x14ac:dyDescent="0.3"/>
    <row r="953" ht="14" x14ac:dyDescent="0.3"/>
    <row r="954" ht="14" x14ac:dyDescent="0.3"/>
    <row r="955" ht="14" x14ac:dyDescent="0.3"/>
    <row r="956" ht="14" x14ac:dyDescent="0.3"/>
    <row r="957" ht="14" x14ac:dyDescent="0.3"/>
    <row r="958" ht="14" x14ac:dyDescent="0.3"/>
    <row r="959" ht="14" x14ac:dyDescent="0.3"/>
    <row r="960" ht="14" x14ac:dyDescent="0.3"/>
    <row r="961" ht="14" x14ac:dyDescent="0.3"/>
    <row r="962" ht="14" x14ac:dyDescent="0.3"/>
    <row r="963" ht="14" x14ac:dyDescent="0.3"/>
    <row r="964" ht="14" x14ac:dyDescent="0.3"/>
    <row r="965" ht="14" x14ac:dyDescent="0.3"/>
    <row r="966" ht="14" x14ac:dyDescent="0.3"/>
    <row r="967" ht="14" x14ac:dyDescent="0.3"/>
    <row r="968" ht="14" x14ac:dyDescent="0.3"/>
    <row r="969" ht="14" x14ac:dyDescent="0.3"/>
    <row r="970" ht="14" x14ac:dyDescent="0.3"/>
    <row r="971" ht="14" x14ac:dyDescent="0.3"/>
    <row r="972" ht="14" x14ac:dyDescent="0.3"/>
    <row r="973" ht="14" x14ac:dyDescent="0.3"/>
    <row r="974" ht="14" x14ac:dyDescent="0.3"/>
    <row r="975" ht="14" x14ac:dyDescent="0.3"/>
    <row r="976" ht="14" x14ac:dyDescent="0.3"/>
    <row r="977" ht="14" x14ac:dyDescent="0.3"/>
    <row r="978" ht="14" x14ac:dyDescent="0.3"/>
    <row r="979" ht="14" x14ac:dyDescent="0.3"/>
    <row r="980" ht="14" x14ac:dyDescent="0.3"/>
    <row r="981" ht="14" x14ac:dyDescent="0.3"/>
    <row r="982" ht="14" x14ac:dyDescent="0.3"/>
    <row r="983" ht="14" x14ac:dyDescent="0.3"/>
    <row r="984" ht="14" x14ac:dyDescent="0.3"/>
    <row r="985" ht="14" x14ac:dyDescent="0.3"/>
    <row r="986" ht="14" x14ac:dyDescent="0.3"/>
    <row r="987" ht="14" x14ac:dyDescent="0.3"/>
    <row r="988" ht="14" x14ac:dyDescent="0.3"/>
    <row r="989" ht="14" x14ac:dyDescent="0.3"/>
    <row r="990" ht="14" x14ac:dyDescent="0.3"/>
    <row r="991" ht="14" x14ac:dyDescent="0.3"/>
    <row r="992" ht="14" x14ac:dyDescent="0.3"/>
    <row r="993" ht="14" x14ac:dyDescent="0.3"/>
    <row r="994" ht="14" x14ac:dyDescent="0.3"/>
    <row r="995" ht="14" x14ac:dyDescent="0.3"/>
    <row r="996" ht="14" x14ac:dyDescent="0.3"/>
    <row r="997" ht="14" x14ac:dyDescent="0.3"/>
    <row r="998" ht="14" x14ac:dyDescent="0.3"/>
    <row r="999" ht="14" x14ac:dyDescent="0.3"/>
    <row r="1000" ht="14" x14ac:dyDescent="0.3"/>
    <row r="1001" ht="14" x14ac:dyDescent="0.3"/>
    <row r="1002" ht="14" x14ac:dyDescent="0.3"/>
    <row r="1003" ht="14" x14ac:dyDescent="0.3"/>
    <row r="1004" ht="14" x14ac:dyDescent="0.3"/>
    <row r="1005" ht="14" x14ac:dyDescent="0.3"/>
    <row r="1006" ht="14" x14ac:dyDescent="0.3"/>
    <row r="1007" ht="14" x14ac:dyDescent="0.3"/>
    <row r="1008" ht="14" x14ac:dyDescent="0.3"/>
    <row r="1009" ht="14" x14ac:dyDescent="0.3"/>
    <row r="1010" ht="14" x14ac:dyDescent="0.3"/>
    <row r="1011" ht="14" x14ac:dyDescent="0.3"/>
    <row r="1012" ht="14" x14ac:dyDescent="0.3"/>
    <row r="1013" ht="14" x14ac:dyDescent="0.3"/>
    <row r="1014" ht="14" x14ac:dyDescent="0.3"/>
    <row r="1015" ht="14" x14ac:dyDescent="0.3"/>
    <row r="1016" ht="14" x14ac:dyDescent="0.3"/>
    <row r="1017" ht="14" x14ac:dyDescent="0.3"/>
    <row r="1018" ht="14" x14ac:dyDescent="0.3"/>
    <row r="1019" ht="14" x14ac:dyDescent="0.3"/>
    <row r="1020" ht="14" x14ac:dyDescent="0.3"/>
    <row r="1021" ht="14" x14ac:dyDescent="0.3"/>
    <row r="1022" ht="14" x14ac:dyDescent="0.3"/>
    <row r="1023" ht="14" x14ac:dyDescent="0.3"/>
    <row r="1024" ht="14" x14ac:dyDescent="0.3"/>
    <row r="1025" ht="14" x14ac:dyDescent="0.3"/>
    <row r="1026" ht="14" x14ac:dyDescent="0.3"/>
    <row r="1027" ht="14" x14ac:dyDescent="0.3"/>
    <row r="1028" ht="14" x14ac:dyDescent="0.3"/>
    <row r="1029" ht="14" x14ac:dyDescent="0.3"/>
  </sheetData>
  <sheetProtection algorithmName="SHA-512" hashValue="RxJExNF8TRYsJQW4JvBz0fyeI3H/JikYdm32mW1e0L5II7xAKUBn/79+ecoCTN/zL3Czp7y9kNoqgbqGP/moXQ==" saltValue="SSWuxO+269FrISJt4oXErw=="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P30"/>
  <sheetViews>
    <sheetView workbookViewId="0">
      <selection activeCell="P9" sqref="P9"/>
    </sheetView>
  </sheetViews>
  <sheetFormatPr defaultRowHeight="14" x14ac:dyDescent="0.3"/>
  <cols>
    <col min="1" max="1" width="27.6640625" customWidth="1"/>
    <col min="2" max="6" width="10.58203125" customWidth="1"/>
    <col min="10" max="10" width="9.9140625" customWidth="1"/>
    <col min="11" max="11" width="13.4140625" customWidth="1"/>
    <col min="12" max="12" width="11.5" customWidth="1"/>
    <col min="15" max="15" width="8.6640625" customWidth="1"/>
    <col min="16" max="16" width="11.58203125" customWidth="1"/>
  </cols>
  <sheetData>
    <row r="1" spans="1:16" x14ac:dyDescent="0.3">
      <c r="A1" s="511" t="s">
        <v>347</v>
      </c>
      <c r="B1" s="495" t="s">
        <v>2</v>
      </c>
      <c r="C1" s="195" t="s">
        <v>3</v>
      </c>
      <c r="D1" s="195" t="s">
        <v>4</v>
      </c>
      <c r="E1" s="195" t="s">
        <v>5</v>
      </c>
      <c r="F1" s="195" t="s">
        <v>6</v>
      </c>
      <c r="O1" s="575" t="s">
        <v>371</v>
      </c>
      <c r="P1" s="575"/>
    </row>
    <row r="2" spans="1:16" x14ac:dyDescent="0.3">
      <c r="A2" s="512" t="s">
        <v>213</v>
      </c>
      <c r="B2" s="513">
        <f>IF(Instruction!B11&lt;=46037,O2,IF(Instruction!B11&gt;46037,IF(Instruction!B11&lt;=46402,O2*1.05,O2*1.05^2)))</f>
        <v>2574</v>
      </c>
      <c r="C2" s="513">
        <f>B2*1.05</f>
        <v>2702.7000000000003</v>
      </c>
      <c r="D2" s="513">
        <f>C2*1.05</f>
        <v>2837.8350000000005</v>
      </c>
      <c r="E2" s="513">
        <f>D2*1.05</f>
        <v>2979.7267500000007</v>
      </c>
      <c r="F2" s="513">
        <f>E2*1.05</f>
        <v>3128.7130875000007</v>
      </c>
      <c r="O2" s="560">
        <v>2574</v>
      </c>
    </row>
    <row r="3" spans="1:16" x14ac:dyDescent="0.3">
      <c r="A3" s="512" t="s">
        <v>214</v>
      </c>
      <c r="B3" s="513">
        <f>IF(Instruction!B11&lt;=46037,O2,IF(Instruction!B11&gt;46037,IF(Instruction!B11&lt;=46402,O2*1.05,O2*1.05^2)))</f>
        <v>2574</v>
      </c>
      <c r="C3" s="513">
        <f t="shared" ref="C3:F3" si="0">B3*1.05</f>
        <v>2702.7000000000003</v>
      </c>
      <c r="D3" s="513">
        <f t="shared" si="0"/>
        <v>2837.8350000000005</v>
      </c>
      <c r="E3" s="513">
        <f t="shared" si="0"/>
        <v>2979.7267500000007</v>
      </c>
      <c r="F3" s="513">
        <f t="shared" si="0"/>
        <v>3128.7130875000007</v>
      </c>
    </row>
    <row r="4" spans="1:16" x14ac:dyDescent="0.3">
      <c r="A4" s="512" t="s">
        <v>215</v>
      </c>
      <c r="B4" s="513">
        <f>IF(Instruction!B11&lt;=46037,O2,IF(Instruction!B11&gt;46037,IF(Instruction!B11&lt;=46402,O2*1.05,O2*1.05^2)))</f>
        <v>2574</v>
      </c>
      <c r="C4" s="513">
        <f t="shared" ref="C4:F4" si="1">B4*1.05</f>
        <v>2702.7000000000003</v>
      </c>
      <c r="D4" s="513">
        <f t="shared" si="1"/>
        <v>2837.8350000000005</v>
      </c>
      <c r="E4" s="513">
        <f t="shared" si="1"/>
        <v>2979.7267500000007</v>
      </c>
      <c r="F4" s="513">
        <f t="shared" si="1"/>
        <v>3128.7130875000007</v>
      </c>
    </row>
    <row r="5" spans="1:16" x14ac:dyDescent="0.3">
      <c r="A5" s="512" t="s">
        <v>216</v>
      </c>
      <c r="B5" s="513">
        <f>IF(Instruction!B11&lt;=46037,O2,IF(Instruction!B11&gt;46037,IF(Instruction!B11&lt;=46402,O2*1.05,O2*1.05^2)))</f>
        <v>2574</v>
      </c>
      <c r="C5" s="513">
        <f t="shared" ref="C5:F5" si="2">B5*1.05</f>
        <v>2702.7000000000003</v>
      </c>
      <c r="D5" s="513">
        <f t="shared" si="2"/>
        <v>2837.8350000000005</v>
      </c>
      <c r="E5" s="513">
        <f t="shared" si="2"/>
        <v>2979.7267500000007</v>
      </c>
      <c r="F5" s="513">
        <f t="shared" si="2"/>
        <v>3128.7130875000007</v>
      </c>
    </row>
    <row r="7" spans="1:16" ht="28" x14ac:dyDescent="0.3">
      <c r="A7" s="514" t="s">
        <v>348</v>
      </c>
      <c r="B7" s="502" t="s">
        <v>2</v>
      </c>
      <c r="C7" s="503" t="s">
        <v>3</v>
      </c>
      <c r="D7" s="503" t="s">
        <v>4</v>
      </c>
      <c r="E7" s="503" t="s">
        <v>5</v>
      </c>
      <c r="F7" s="503" t="s">
        <v>6</v>
      </c>
    </row>
    <row r="8" spans="1:16" x14ac:dyDescent="0.3">
      <c r="A8" s="515" t="str">
        <f>A2</f>
        <v>GRA 1</v>
      </c>
      <c r="B8" s="501"/>
      <c r="C8" s="501"/>
      <c r="D8" s="501"/>
      <c r="E8" s="501"/>
      <c r="F8" s="501"/>
    </row>
    <row r="9" spans="1:16" x14ac:dyDescent="0.3">
      <c r="A9" s="515" t="str">
        <f t="shared" ref="A9:A11" si="3">A3</f>
        <v>GRA 2</v>
      </c>
      <c r="B9" s="501"/>
      <c r="C9" s="501"/>
      <c r="D9" s="501"/>
      <c r="E9" s="501"/>
      <c r="F9" s="501"/>
    </row>
    <row r="10" spans="1:16" x14ac:dyDescent="0.3">
      <c r="A10" s="515" t="str">
        <f t="shared" si="3"/>
        <v>GRA 3</v>
      </c>
      <c r="B10" s="501"/>
      <c r="C10" s="501"/>
      <c r="D10" s="501"/>
      <c r="E10" s="501"/>
      <c r="F10" s="501"/>
    </row>
    <row r="11" spans="1:16" x14ac:dyDescent="0.3">
      <c r="A11" s="515" t="str">
        <f t="shared" si="3"/>
        <v>GRA 4</v>
      </c>
      <c r="B11" s="501"/>
      <c r="C11" s="501"/>
      <c r="D11" s="501"/>
      <c r="E11" s="501"/>
      <c r="F11" s="501"/>
    </row>
    <row r="13" spans="1:16" x14ac:dyDescent="0.3">
      <c r="A13" s="511" t="s">
        <v>345</v>
      </c>
      <c r="B13" s="495" t="s">
        <v>2</v>
      </c>
      <c r="C13" s="195" t="s">
        <v>3</v>
      </c>
      <c r="D13" s="195" t="s">
        <v>4</v>
      </c>
      <c r="E13" s="195" t="s">
        <v>5</v>
      </c>
      <c r="F13" s="195" t="s">
        <v>6</v>
      </c>
    </row>
    <row r="14" spans="1:16" x14ac:dyDescent="0.3">
      <c r="A14" s="515" t="str">
        <f>A2</f>
        <v>GRA 1</v>
      </c>
      <c r="B14" s="358"/>
      <c r="C14" s="358"/>
      <c r="D14" s="358"/>
      <c r="E14" s="358"/>
      <c r="F14" s="358"/>
    </row>
    <row r="15" spans="1:16" x14ac:dyDescent="0.3">
      <c r="A15" s="515" t="str">
        <f t="shared" ref="A15:A17" si="4">A3</f>
        <v>GRA 2</v>
      </c>
      <c r="B15" s="358"/>
      <c r="C15" s="358"/>
      <c r="D15" s="358"/>
      <c r="E15" s="358"/>
      <c r="F15" s="358"/>
    </row>
    <row r="16" spans="1:16" x14ac:dyDescent="0.3">
      <c r="A16" s="515" t="str">
        <f t="shared" si="4"/>
        <v>GRA 3</v>
      </c>
      <c r="B16" s="358"/>
      <c r="C16" s="358"/>
      <c r="D16" s="358"/>
      <c r="E16" s="358"/>
      <c r="F16" s="358"/>
    </row>
    <row r="17" spans="1:7" x14ac:dyDescent="0.3">
      <c r="A17" s="515" t="str">
        <f t="shared" si="4"/>
        <v>GRA 4</v>
      </c>
      <c r="B17" s="358"/>
      <c r="C17" s="358"/>
      <c r="D17" s="358"/>
      <c r="E17" s="358"/>
      <c r="F17" s="358"/>
    </row>
    <row r="18" spans="1:7" ht="14.5" x14ac:dyDescent="0.35">
      <c r="G18" s="518" t="s">
        <v>350</v>
      </c>
    </row>
    <row r="19" spans="1:7" x14ac:dyDescent="0.3">
      <c r="A19" s="516" t="s">
        <v>370</v>
      </c>
      <c r="B19" s="504" t="s">
        <v>2</v>
      </c>
      <c r="C19" s="505" t="s">
        <v>3</v>
      </c>
      <c r="D19" s="505" t="s">
        <v>4</v>
      </c>
      <c r="E19" s="505" t="s">
        <v>5</v>
      </c>
      <c r="F19" s="505" t="s">
        <v>6</v>
      </c>
    </row>
    <row r="20" spans="1:7" x14ac:dyDescent="0.3">
      <c r="A20" s="515" t="str">
        <f>A2</f>
        <v>GRA 1</v>
      </c>
      <c r="B20" s="501"/>
      <c r="C20" s="501"/>
      <c r="D20" s="501"/>
      <c r="E20" s="501"/>
      <c r="F20" s="501"/>
    </row>
    <row r="21" spans="1:7" x14ac:dyDescent="0.3">
      <c r="A21" s="515" t="str">
        <f t="shared" ref="A21:A23" si="5">A3</f>
        <v>GRA 2</v>
      </c>
      <c r="B21" s="501"/>
      <c r="C21" s="501"/>
      <c r="D21" s="501"/>
      <c r="E21" s="501"/>
      <c r="F21" s="501"/>
    </row>
    <row r="22" spans="1:7" x14ac:dyDescent="0.3">
      <c r="A22" s="515" t="str">
        <f t="shared" si="5"/>
        <v>GRA 3</v>
      </c>
      <c r="B22" s="501"/>
      <c r="C22" s="501"/>
      <c r="D22" s="501"/>
      <c r="E22" s="501"/>
      <c r="F22" s="501"/>
    </row>
    <row r="23" spans="1:7" x14ac:dyDescent="0.3">
      <c r="A23" s="515" t="str">
        <f t="shared" si="5"/>
        <v>GRA 4</v>
      </c>
      <c r="B23" s="501"/>
      <c r="C23" s="501"/>
      <c r="D23" s="501"/>
      <c r="E23" s="501"/>
      <c r="F23" s="501"/>
    </row>
    <row r="25" spans="1:7" x14ac:dyDescent="0.3">
      <c r="A25" s="511" t="s">
        <v>346</v>
      </c>
      <c r="B25" s="495" t="s">
        <v>2</v>
      </c>
      <c r="C25" s="195" t="s">
        <v>3</v>
      </c>
      <c r="D25" s="195" t="s">
        <v>4</v>
      </c>
      <c r="E25" s="195" t="s">
        <v>5</v>
      </c>
      <c r="F25" s="195" t="s">
        <v>6</v>
      </c>
    </row>
    <row r="26" spans="1:7" x14ac:dyDescent="0.3">
      <c r="A26" s="515" t="str">
        <f>A2</f>
        <v>GRA 1</v>
      </c>
      <c r="B26" s="513">
        <f>B14*B2*B8*B20</f>
        <v>0</v>
      </c>
      <c r="C26" s="513">
        <f>C14*C2*C8*C20</f>
        <v>0</v>
      </c>
      <c r="D26" s="513">
        <f>D14*D2*D8*D20</f>
        <v>0</v>
      </c>
      <c r="E26" s="513">
        <f>E14*E2*E8*E20</f>
        <v>0</v>
      </c>
      <c r="F26" s="513">
        <f>F14*F2*F8*F20</f>
        <v>0</v>
      </c>
    </row>
    <row r="27" spans="1:7" x14ac:dyDescent="0.3">
      <c r="A27" s="515" t="str">
        <f t="shared" ref="A27:A29" si="6">A3</f>
        <v>GRA 2</v>
      </c>
      <c r="B27" s="513">
        <f t="shared" ref="B27:F27" si="7">B15*B3*B9*B21</f>
        <v>0</v>
      </c>
      <c r="C27" s="513">
        <f t="shared" si="7"/>
        <v>0</v>
      </c>
      <c r="D27" s="513">
        <f t="shared" si="7"/>
        <v>0</v>
      </c>
      <c r="E27" s="513">
        <f t="shared" si="7"/>
        <v>0</v>
      </c>
      <c r="F27" s="513">
        <f t="shared" si="7"/>
        <v>0</v>
      </c>
    </row>
    <row r="28" spans="1:7" x14ac:dyDescent="0.3">
      <c r="A28" s="515" t="str">
        <f t="shared" si="6"/>
        <v>GRA 3</v>
      </c>
      <c r="B28" s="513">
        <f t="shared" ref="B28:F28" si="8">B16*B4*B10*B22</f>
        <v>0</v>
      </c>
      <c r="C28" s="513">
        <f t="shared" si="8"/>
        <v>0</v>
      </c>
      <c r="D28" s="513">
        <f t="shared" si="8"/>
        <v>0</v>
      </c>
      <c r="E28" s="513">
        <f t="shared" si="8"/>
        <v>0</v>
      </c>
      <c r="F28" s="513">
        <f t="shared" si="8"/>
        <v>0</v>
      </c>
    </row>
    <row r="29" spans="1:7" x14ac:dyDescent="0.3">
      <c r="A29" s="515" t="str">
        <f t="shared" si="6"/>
        <v>GRA 4</v>
      </c>
      <c r="B29" s="513">
        <f t="shared" ref="B29:F29" si="9">B17*B5*B11*B23</f>
        <v>0</v>
      </c>
      <c r="C29" s="513">
        <f t="shared" si="9"/>
        <v>0</v>
      </c>
      <c r="D29" s="513">
        <f t="shared" si="9"/>
        <v>0</v>
      </c>
      <c r="E29" s="513">
        <f t="shared" si="9"/>
        <v>0</v>
      </c>
      <c r="F29" s="513">
        <f t="shared" si="9"/>
        <v>0</v>
      </c>
    </row>
    <row r="30" spans="1:7" x14ac:dyDescent="0.3">
      <c r="A30" s="494" t="s">
        <v>43</v>
      </c>
      <c r="B30" s="517">
        <f>SUM(B26:B29)</f>
        <v>0</v>
      </c>
      <c r="C30" s="517">
        <f>SUM(C26:C29)</f>
        <v>0</v>
      </c>
      <c r="D30" s="517">
        <f>SUM(D26:D29)</f>
        <v>0</v>
      </c>
      <c r="E30" s="517">
        <f>SUM(E26:E29)</f>
        <v>0</v>
      </c>
      <c r="F30" s="517">
        <f>SUM(F26:F29)</f>
        <v>0</v>
      </c>
    </row>
  </sheetData>
  <sheetProtection algorithmName="SHA-512" hashValue="EdNjr++wLIx1lDPxMHk//tNR75xsP6EVJ60i3tcTYXcjQ0GFIZvcoxRIkneso4JQgsvJF+XFkM/uOFAkUTBq8Q==" saltValue="a46bOq5v4oXPSAzL5ds6fg==" spinCount="100000" sheet="1" objects="1" scenarios="1"/>
  <mergeCells count="1">
    <mergeCell ref="O1:P1"/>
  </mergeCells>
  <hyperlinks>
    <hyperlink ref="G18" r:id="rId1" xr:uid="{3F2C1467-3DFE-4F00-8126-90242C907441}"/>
  </hyperlinks>
  <pageMargins left="0.7" right="0.7" top="0.75" bottom="0.75" header="0.3" footer="0.3"/>
  <pageSetup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zoomScaleNormal="100" workbookViewId="0">
      <selection activeCell="K8" sqref="K8"/>
    </sheetView>
  </sheetViews>
  <sheetFormatPr defaultColWidth="8.33203125" defaultRowHeight="14" x14ac:dyDescent="0.3"/>
  <cols>
    <col min="1" max="1" width="29.33203125" style="156" customWidth="1"/>
    <col min="2" max="2" width="11.25" style="156" customWidth="1"/>
    <col min="3" max="9" width="8.33203125" style="156"/>
    <col min="10" max="10" width="8.33203125" style="75"/>
    <col min="11" max="11" width="75.4140625" style="75" customWidth="1"/>
    <col min="12" max="12" width="18.25" style="75" customWidth="1"/>
    <col min="13" max="13" width="62.25" style="75" customWidth="1"/>
    <col min="14" max="18" width="8.33203125" style="75" customWidth="1"/>
    <col min="19" max="19" width="2.58203125" style="75" customWidth="1"/>
    <col min="20" max="20" width="1.83203125" style="75" customWidth="1"/>
    <col min="21" max="21" width="2.58203125" style="75" customWidth="1"/>
    <col min="22" max="22" width="22.83203125" style="75" customWidth="1"/>
    <col min="23" max="28" width="8.33203125" style="75" customWidth="1"/>
    <col min="29" max="29" width="8.08203125" style="75" customWidth="1"/>
    <col min="30" max="16384" width="8.33203125" style="156"/>
  </cols>
  <sheetData>
    <row r="1" spans="1:29" ht="17.5" x14ac:dyDescent="0.35">
      <c r="A1" s="586" t="s">
        <v>224</v>
      </c>
      <c r="B1" s="586"/>
      <c r="C1" s="586"/>
      <c r="D1" s="586"/>
      <c r="E1" s="586"/>
      <c r="F1" s="586"/>
      <c r="G1" s="586"/>
      <c r="H1" s="586"/>
      <c r="I1" s="586"/>
      <c r="K1" s="587"/>
      <c r="L1" s="587"/>
      <c r="M1" s="587"/>
      <c r="N1" s="587"/>
      <c r="O1" s="587"/>
      <c r="P1" s="587"/>
      <c r="Q1" s="587"/>
      <c r="R1" s="587"/>
      <c r="V1" s="587"/>
      <c r="W1" s="587"/>
      <c r="X1" s="587"/>
      <c r="Y1" s="587"/>
      <c r="Z1" s="587"/>
      <c r="AA1" s="587"/>
      <c r="AB1" s="587"/>
      <c r="AC1" s="587"/>
    </row>
    <row r="2" spans="1:29" s="2" customFormat="1" ht="21" customHeight="1" thickBot="1" x14ac:dyDescent="0.35">
      <c r="A2" s="576" t="s">
        <v>353</v>
      </c>
      <c r="B2" s="576"/>
      <c r="C2" s="576"/>
      <c r="D2" s="576"/>
      <c r="E2" s="576"/>
      <c r="F2" s="576"/>
      <c r="G2" s="576"/>
      <c r="H2" s="576"/>
      <c r="I2" s="576"/>
      <c r="J2" s="66"/>
      <c r="K2" s="519" t="s">
        <v>276</v>
      </c>
      <c r="L2" s="520"/>
      <c r="M2" s="520"/>
      <c r="N2" s="520"/>
      <c r="O2" s="371"/>
      <c r="P2" s="371"/>
      <c r="Q2" s="371"/>
      <c r="R2" s="371"/>
      <c r="S2" s="66"/>
      <c r="T2" s="66"/>
      <c r="U2" s="66"/>
      <c r="V2" s="371"/>
      <c r="W2" s="371"/>
      <c r="X2" s="371"/>
      <c r="Y2" s="371"/>
      <c r="Z2" s="371"/>
      <c r="AA2" s="371"/>
      <c r="AB2" s="371"/>
      <c r="AC2" s="371"/>
    </row>
    <row r="3" spans="1:29" ht="14.5" hidden="1" x14ac:dyDescent="0.35">
      <c r="A3" s="175" t="s">
        <v>102</v>
      </c>
      <c r="B3" s="350">
        <v>0</v>
      </c>
      <c r="C3" s="75"/>
      <c r="D3" s="75"/>
      <c r="E3" s="75"/>
      <c r="F3" s="370"/>
      <c r="G3" s="223"/>
      <c r="H3" s="223"/>
      <c r="I3" s="224"/>
      <c r="J3" s="225"/>
      <c r="K3" s="521"/>
      <c r="L3" s="521"/>
      <c r="M3" s="521"/>
      <c r="N3" s="521"/>
    </row>
    <row r="4" spans="1:29" ht="15" thickBot="1" x14ac:dyDescent="0.4">
      <c r="A4" s="178"/>
      <c r="B4" s="178"/>
      <c r="C4" s="178"/>
      <c r="D4" s="178"/>
      <c r="E4" s="223"/>
      <c r="F4" s="223"/>
      <c r="G4" s="223"/>
      <c r="H4" s="223"/>
      <c r="I4" s="223"/>
      <c r="J4" s="225"/>
      <c r="K4" s="522" t="s">
        <v>42</v>
      </c>
      <c r="L4" s="523" t="s">
        <v>61</v>
      </c>
      <c r="M4" s="522" t="s">
        <v>62</v>
      </c>
      <c r="N4" s="521"/>
      <c r="Q4" s="211"/>
      <c r="R4" s="211"/>
      <c r="S4" s="211"/>
    </row>
    <row r="5" spans="1:29" ht="16.5" customHeight="1" x14ac:dyDescent="0.35">
      <c r="A5" s="226" t="s">
        <v>153</v>
      </c>
      <c r="B5" s="351" t="s">
        <v>84</v>
      </c>
      <c r="C5" s="395"/>
      <c r="D5" s="395"/>
      <c r="E5" s="227"/>
      <c r="F5" s="227"/>
      <c r="G5" s="227"/>
      <c r="H5" s="227"/>
      <c r="I5" s="228"/>
      <c r="K5" s="521" t="s">
        <v>355</v>
      </c>
      <c r="L5" s="524" t="s">
        <v>279</v>
      </c>
      <c r="M5" s="525" t="s">
        <v>280</v>
      </c>
      <c r="N5" s="525"/>
      <c r="Q5" s="211"/>
      <c r="R5" s="211"/>
      <c r="S5" s="211"/>
      <c r="V5" s="201"/>
    </row>
    <row r="6" spans="1:29" ht="16.5" customHeight="1" x14ac:dyDescent="0.35">
      <c r="A6" s="229" t="s">
        <v>151</v>
      </c>
      <c r="B6" s="352" t="s">
        <v>152</v>
      </c>
      <c r="C6" s="75"/>
      <c r="D6" s="75"/>
      <c r="E6" s="75"/>
      <c r="F6" s="75"/>
      <c r="G6" s="75"/>
      <c r="H6" s="75"/>
      <c r="I6" s="230"/>
      <c r="K6" s="521" t="s">
        <v>356</v>
      </c>
      <c r="L6" s="526">
        <v>68</v>
      </c>
      <c r="M6" s="527" t="s">
        <v>277</v>
      </c>
      <c r="N6" s="528"/>
      <c r="Q6" s="211"/>
      <c r="R6" s="211"/>
      <c r="S6" s="211"/>
      <c r="V6" s="201"/>
    </row>
    <row r="7" spans="1:29" ht="16.5" customHeight="1" thickBot="1" x14ac:dyDescent="0.4">
      <c r="A7" s="231" t="s">
        <v>85</v>
      </c>
      <c r="B7" s="353" t="s">
        <v>86</v>
      </c>
      <c r="C7" s="232"/>
      <c r="D7" s="232"/>
      <c r="E7" s="584" t="s">
        <v>142</v>
      </c>
      <c r="F7" s="584"/>
      <c r="G7" s="584"/>
      <c r="H7" s="584"/>
      <c r="I7" s="585"/>
      <c r="K7" s="521" t="s">
        <v>357</v>
      </c>
      <c r="L7" s="526">
        <v>110</v>
      </c>
      <c r="M7" s="529" t="s">
        <v>278</v>
      </c>
      <c r="N7" s="521"/>
      <c r="O7" s="156"/>
      <c r="Q7" s="211"/>
      <c r="R7" s="211"/>
      <c r="S7" s="211"/>
      <c r="V7" s="201"/>
    </row>
    <row r="8" spans="1:29" ht="16.5" customHeight="1" x14ac:dyDescent="0.35">
      <c r="A8" s="233"/>
      <c r="B8" s="234"/>
      <c r="C8" s="580" t="s">
        <v>226</v>
      </c>
      <c r="D8" s="581"/>
      <c r="E8" s="354">
        <v>0</v>
      </c>
      <c r="F8" s="354">
        <v>0</v>
      </c>
      <c r="G8" s="354">
        <v>0</v>
      </c>
      <c r="H8" s="354">
        <v>0</v>
      </c>
      <c r="I8" s="355">
        <v>0</v>
      </c>
      <c r="K8" s="521" t="s">
        <v>358</v>
      </c>
      <c r="L8" s="526">
        <v>131</v>
      </c>
      <c r="M8" s="530" t="s">
        <v>275</v>
      </c>
      <c r="N8" s="521"/>
      <c r="Q8" s="211"/>
      <c r="R8" s="211"/>
      <c r="S8" s="211"/>
      <c r="V8" s="175"/>
      <c r="Y8" s="149"/>
      <c r="Z8" s="149"/>
      <c r="AA8" s="149"/>
      <c r="AB8" s="149"/>
      <c r="AC8" s="149"/>
    </row>
    <row r="9" spans="1:29" ht="16.5" customHeight="1" x14ac:dyDescent="0.35">
      <c r="A9" s="235"/>
      <c r="B9" s="236"/>
      <c r="C9" s="582" t="s">
        <v>101</v>
      </c>
      <c r="D9" s="583"/>
      <c r="E9" s="356">
        <v>0</v>
      </c>
      <c r="F9" s="356">
        <v>0</v>
      </c>
      <c r="G9" s="356">
        <v>0</v>
      </c>
      <c r="H9" s="356">
        <v>0</v>
      </c>
      <c r="I9" s="357">
        <v>0</v>
      </c>
      <c r="K9" s="521"/>
      <c r="L9" s="521"/>
      <c r="M9" s="521"/>
      <c r="N9" s="521"/>
      <c r="Q9" s="211"/>
      <c r="R9" s="211"/>
      <c r="S9" s="211"/>
      <c r="V9" s="175"/>
      <c r="Y9" s="149"/>
      <c r="Z9" s="149"/>
      <c r="AA9" s="149"/>
      <c r="AB9" s="149"/>
      <c r="AC9" s="149"/>
    </row>
    <row r="10" spans="1:29" ht="32.15" customHeight="1" x14ac:dyDescent="0.35">
      <c r="A10" s="96"/>
      <c r="B10" s="237" t="s">
        <v>239</v>
      </c>
      <c r="C10" s="237" t="s">
        <v>225</v>
      </c>
      <c r="D10" s="237" t="s">
        <v>100</v>
      </c>
      <c r="E10" s="238" t="s">
        <v>88</v>
      </c>
      <c r="F10" s="238" t="s">
        <v>89</v>
      </c>
      <c r="G10" s="238" t="s">
        <v>90</v>
      </c>
      <c r="H10" s="238" t="s">
        <v>91</v>
      </c>
      <c r="I10" s="239" t="s">
        <v>92</v>
      </c>
      <c r="K10" s="531" t="s">
        <v>223</v>
      </c>
      <c r="L10" s="521"/>
      <c r="M10" s="532" t="s">
        <v>222</v>
      </c>
      <c r="N10" s="521"/>
      <c r="P10" s="211"/>
      <c r="Q10" s="211"/>
      <c r="R10" s="211"/>
      <c r="S10" s="211"/>
      <c r="T10" s="240"/>
      <c r="W10" s="175"/>
      <c r="X10" s="240"/>
      <c r="Y10" s="240"/>
      <c r="Z10" s="240"/>
      <c r="AA10" s="240"/>
      <c r="AB10" s="240"/>
      <c r="AC10" s="240"/>
    </row>
    <row r="11" spans="1:29" ht="16.5" customHeight="1" x14ac:dyDescent="0.35">
      <c r="A11" s="241" t="s">
        <v>93</v>
      </c>
      <c r="B11" s="185"/>
      <c r="C11" s="359"/>
      <c r="D11" s="242" t="s">
        <v>99</v>
      </c>
      <c r="E11" s="243">
        <f>C11*(E8+E9)</f>
        <v>0</v>
      </c>
      <c r="F11" s="243">
        <f>C11*(F8+F9)*(1+$B$3)</f>
        <v>0</v>
      </c>
      <c r="G11" s="243">
        <f>C11*(G8+G9)*(1+$B$3)^2</f>
        <v>0</v>
      </c>
      <c r="H11" s="243">
        <f>C11*(H8+H9)*(1+$B$3)^3</f>
        <v>0</v>
      </c>
      <c r="I11" s="244">
        <f>C11*(I8+I9)*(1+$B$3)^4</f>
        <v>0</v>
      </c>
      <c r="K11" s="521"/>
      <c r="L11" s="521"/>
      <c r="M11" s="521"/>
      <c r="N11" s="533"/>
      <c r="P11" s="211"/>
      <c r="Q11" s="211"/>
      <c r="R11" s="211"/>
      <c r="S11" s="211"/>
      <c r="V11" s="175"/>
      <c r="X11" s="245"/>
      <c r="Y11" s="246"/>
      <c r="Z11" s="246"/>
      <c r="AA11" s="246"/>
      <c r="AB11" s="246"/>
      <c r="AC11" s="246"/>
    </row>
    <row r="12" spans="1:29" ht="16.5" customHeight="1" x14ac:dyDescent="0.35">
      <c r="A12" s="241" t="s">
        <v>97</v>
      </c>
      <c r="B12" s="358"/>
      <c r="C12" s="359"/>
      <c r="D12" s="242" t="s">
        <v>99</v>
      </c>
      <c r="E12" s="243">
        <f>((B12*C12)*(E8+E9))</f>
        <v>0</v>
      </c>
      <c r="F12" s="243">
        <f>((B12*C12)*(F8+F9)*(1+$B$3))</f>
        <v>0</v>
      </c>
      <c r="G12" s="243">
        <f>((B12*C12)*(G8+G9))*(1+$B$3)^2</f>
        <v>0</v>
      </c>
      <c r="H12" s="243">
        <f>((B12*C12)*(H8+H9))*(1+$B$3)^3</f>
        <v>0</v>
      </c>
      <c r="I12" s="244">
        <f>((B12*C12)*(I8+I9))*(1+$B$3)^4</f>
        <v>0</v>
      </c>
      <c r="K12" s="533"/>
      <c r="L12" s="521"/>
      <c r="M12" s="521"/>
      <c r="N12" s="521"/>
      <c r="V12" s="175"/>
      <c r="W12" s="149"/>
      <c r="X12" s="245"/>
      <c r="Y12" s="246"/>
      <c r="Z12" s="246"/>
      <c r="AA12" s="246"/>
      <c r="AB12" s="246"/>
      <c r="AC12" s="246"/>
    </row>
    <row r="13" spans="1:29" ht="16.5" customHeight="1" x14ac:dyDescent="0.35">
      <c r="A13" s="241" t="s">
        <v>98</v>
      </c>
      <c r="B13" s="358"/>
      <c r="C13" s="359"/>
      <c r="D13" s="242" t="s">
        <v>99</v>
      </c>
      <c r="E13" s="243">
        <f>IF(B13=1,(E8+E9)*C13, IF(B13=0,0,((B13*C13-0.5*C13)*(E8+E9))))</f>
        <v>0</v>
      </c>
      <c r="F13" s="243">
        <f>IF(B13=1,(F8+F9)*C13*(1+$B$3), IF(B13=0,0,((B13*C13-0.5*C13)*(F8+F9))*(1+$B$3)))</f>
        <v>0</v>
      </c>
      <c r="G13" s="243">
        <f>IF(B13=1,(G8+G9)*C13*(1+$B$3)^2, IF(B13=0,0,((B13*C13-0.5*C13)*(G8+G9))*(1+$B$3)^2))</f>
        <v>0</v>
      </c>
      <c r="H13" s="243">
        <f>IF(B13=1,(H8+H9)*C13*(1+$B$3)^3, IF(B13=0,0,((B13*C13-0.5*C13)*(H8+H9))*(1+$B$3)^3))</f>
        <v>0</v>
      </c>
      <c r="I13" s="244">
        <f>IF(B13=1,(I8+I9)*C13*(1+$B$3)^4, IF(B13=0,0,((B13*C13-0.5*C13)*(I8+I9))*(1+$B$3)^4))</f>
        <v>0</v>
      </c>
      <c r="K13" s="533" t="s">
        <v>351</v>
      </c>
      <c r="L13" s="521"/>
      <c r="M13" s="521"/>
      <c r="N13" s="521"/>
      <c r="V13" s="175"/>
      <c r="W13" s="149"/>
      <c r="X13" s="245"/>
      <c r="Y13" s="246"/>
      <c r="Z13" s="246"/>
      <c r="AA13" s="246"/>
      <c r="AB13" s="246"/>
      <c r="AC13" s="246"/>
    </row>
    <row r="14" spans="1:29" ht="16.5" customHeight="1" x14ac:dyDescent="0.35">
      <c r="A14" s="241" t="s">
        <v>167</v>
      </c>
      <c r="B14" s="358"/>
      <c r="C14" s="359"/>
      <c r="D14" s="242" t="s">
        <v>99</v>
      </c>
      <c r="E14" s="243">
        <f>C14*(E8+E9)*B14</f>
        <v>0</v>
      </c>
      <c r="F14" s="243">
        <f>C14*(F8+F9)*B14*(1+$B$3)</f>
        <v>0</v>
      </c>
      <c r="G14" s="243">
        <f>C14*(G8+G9)*B14*(1+$B$3)^2</f>
        <v>0</v>
      </c>
      <c r="H14" s="243">
        <f>C14*(H8+H9)*B14*(1+$B$3)^3</f>
        <v>0</v>
      </c>
      <c r="I14" s="244">
        <f>C14*(I8+I9)*B14*(1+$B$3)^4</f>
        <v>0</v>
      </c>
      <c r="K14" s="521" t="s">
        <v>243</v>
      </c>
      <c r="L14" s="521"/>
      <c r="M14" s="521"/>
      <c r="N14" s="521"/>
      <c r="V14" s="175"/>
      <c r="X14" s="245"/>
      <c r="Y14" s="246"/>
      <c r="Z14" s="246"/>
      <c r="AA14" s="246"/>
      <c r="AB14" s="246"/>
      <c r="AC14" s="246"/>
    </row>
    <row r="15" spans="1:29" ht="16.5" customHeight="1" x14ac:dyDescent="0.35">
      <c r="A15" s="241" t="s">
        <v>96</v>
      </c>
      <c r="B15" s="185"/>
      <c r="C15" s="359"/>
      <c r="D15" s="359"/>
      <c r="E15" s="243">
        <f>C15*E8+D15*E9</f>
        <v>0</v>
      </c>
      <c r="F15" s="243">
        <f>(C15*F8+D15*F9)*(1+$B$3)</f>
        <v>0</v>
      </c>
      <c r="G15" s="243">
        <f>(C15*G8+D15*G9)*(1+$B$3)^2</f>
        <v>0</v>
      </c>
      <c r="H15" s="243">
        <f>(C15*H8+D15*H9)*(1+$B$3)^3</f>
        <v>0</v>
      </c>
      <c r="I15" s="243">
        <f>(C15*I8+D15*I9)*(1+$B$3)^4</f>
        <v>0</v>
      </c>
      <c r="J15" s="225"/>
      <c r="K15" s="533"/>
      <c r="L15" s="521"/>
      <c r="M15" s="521"/>
      <c r="N15" s="521"/>
      <c r="V15" s="175"/>
      <c r="X15" s="245"/>
      <c r="Y15" s="246"/>
      <c r="Z15" s="246"/>
      <c r="AA15" s="246"/>
      <c r="AB15" s="246"/>
      <c r="AC15" s="246"/>
    </row>
    <row r="16" spans="1:29" ht="16.5" customHeight="1" x14ac:dyDescent="0.35">
      <c r="A16" s="360" t="s">
        <v>244</v>
      </c>
      <c r="B16" s="383" t="s">
        <v>242</v>
      </c>
      <c r="C16" s="290"/>
      <c r="D16" s="290"/>
      <c r="E16" s="362"/>
      <c r="F16" s="362"/>
      <c r="G16" s="362"/>
      <c r="H16" s="362"/>
      <c r="I16" s="363"/>
      <c r="J16" s="225"/>
      <c r="K16" s="531" t="s">
        <v>352</v>
      </c>
      <c r="L16" s="521"/>
      <c r="M16" s="521"/>
      <c r="N16" s="521"/>
      <c r="V16" s="175"/>
      <c r="X16" s="245"/>
      <c r="Y16" s="246"/>
      <c r="Z16" s="246"/>
      <c r="AA16" s="246"/>
      <c r="AB16" s="246"/>
      <c r="AC16" s="246"/>
    </row>
    <row r="17" spans="1:29" ht="16.5" customHeight="1" thickBot="1" x14ac:dyDescent="0.4">
      <c r="A17" s="361" t="s">
        <v>171</v>
      </c>
      <c r="B17" s="384" t="s">
        <v>241</v>
      </c>
      <c r="C17" s="247"/>
      <c r="D17" s="247"/>
      <c r="E17" s="364"/>
      <c r="F17" s="364"/>
      <c r="G17" s="364"/>
      <c r="H17" s="364"/>
      <c r="I17" s="365"/>
      <c r="J17" s="225"/>
      <c r="K17" s="522"/>
      <c r="L17" s="521"/>
      <c r="M17" s="534"/>
      <c r="N17" s="535"/>
      <c r="O17" s="246"/>
      <c r="P17" s="246"/>
      <c r="Q17" s="246"/>
      <c r="R17" s="246"/>
      <c r="V17" s="175"/>
      <c r="X17" s="245"/>
      <c r="Y17" s="246"/>
      <c r="Z17" s="246"/>
      <c r="AA17" s="246"/>
      <c r="AB17" s="246"/>
      <c r="AC17" s="246"/>
    </row>
    <row r="18" spans="1:29" ht="16.5" customHeight="1" thickTop="1" thickBot="1" x14ac:dyDescent="0.35">
      <c r="A18" s="248" t="s">
        <v>95</v>
      </c>
      <c r="B18" s="249"/>
      <c r="C18" s="250"/>
      <c r="D18" s="250"/>
      <c r="E18" s="251">
        <f>SUM(E11:E17)</f>
        <v>0</v>
      </c>
      <c r="F18" s="251">
        <f>SUM(F11:F17)</f>
        <v>0</v>
      </c>
      <c r="G18" s="251">
        <f>SUM(G11:G17)</f>
        <v>0</v>
      </c>
      <c r="H18" s="251">
        <f>SUM(H11:H17)</f>
        <v>0</v>
      </c>
      <c r="I18" s="252">
        <f>SUM(I11:I17)</f>
        <v>0</v>
      </c>
      <c r="K18" s="175"/>
      <c r="M18" s="149"/>
      <c r="N18" s="246"/>
      <c r="O18" s="246"/>
      <c r="P18" s="246"/>
      <c r="Q18" s="246"/>
      <c r="R18" s="246"/>
      <c r="V18" s="175"/>
      <c r="X18" s="149"/>
      <c r="Y18" s="246"/>
      <c r="Z18" s="246"/>
      <c r="AA18" s="246"/>
      <c r="AB18" s="246"/>
      <c r="AC18" s="246"/>
    </row>
    <row r="19" spans="1:29" hidden="1" x14ac:dyDescent="0.3">
      <c r="A19" s="253"/>
      <c r="B19" s="253"/>
      <c r="C19" s="253"/>
      <c r="D19" s="253" t="s">
        <v>168</v>
      </c>
      <c r="E19" s="253">
        <f>IF(B6="Domestic",E18,0)</f>
        <v>0</v>
      </c>
      <c r="F19" s="253">
        <f>IF(B6="Domestic",F18,0)</f>
        <v>0</v>
      </c>
      <c r="G19" s="253">
        <f>IF(B6="Domestic",G18,0)</f>
        <v>0</v>
      </c>
      <c r="H19" s="253">
        <f>IF(B6="Domestic",H18,0)</f>
        <v>0</v>
      </c>
      <c r="I19" s="253">
        <f>IF(B6="Domestic",I18,0)</f>
        <v>0</v>
      </c>
      <c r="J19" s="225"/>
    </row>
    <row r="20" spans="1:29" hidden="1" x14ac:dyDescent="0.3">
      <c r="A20" s="253"/>
      <c r="B20" s="253"/>
      <c r="C20" s="253"/>
      <c r="D20" s="253" t="s">
        <v>169</v>
      </c>
      <c r="E20" s="253">
        <f>IF(B6="Domestic",0,E18)</f>
        <v>0</v>
      </c>
      <c r="F20" s="253">
        <f>IF(B6="Domestic",0,F18)</f>
        <v>0</v>
      </c>
      <c r="G20" s="253">
        <f>IF(B6="Domestic",0,G18)</f>
        <v>0</v>
      </c>
      <c r="H20" s="253">
        <f>IF(B6="Domestic",0,H18)</f>
        <v>0</v>
      </c>
      <c r="I20" s="253">
        <f>IF(B6="Domestic",0,I18)</f>
        <v>0</v>
      </c>
      <c r="J20" s="225"/>
    </row>
    <row r="21" spans="1:29" ht="14.5" thickBot="1" x14ac:dyDescent="0.35">
      <c r="A21" s="253"/>
      <c r="B21" s="253"/>
      <c r="C21" s="253"/>
      <c r="D21" s="253"/>
      <c r="E21" s="253"/>
      <c r="F21" s="253"/>
      <c r="G21" s="253"/>
      <c r="H21" s="253"/>
      <c r="I21" s="253"/>
      <c r="J21" s="225"/>
    </row>
    <row r="22" spans="1:29" ht="16.5" customHeight="1" x14ac:dyDescent="0.3">
      <c r="A22" s="226" t="s">
        <v>154</v>
      </c>
      <c r="B22" s="351" t="s">
        <v>84</v>
      </c>
      <c r="C22" s="395"/>
      <c r="D22" s="395"/>
      <c r="E22" s="227"/>
      <c r="F22" s="227"/>
      <c r="G22" s="227"/>
      <c r="H22" s="227"/>
      <c r="I22" s="228"/>
      <c r="K22" s="201"/>
      <c r="V22" s="201"/>
    </row>
    <row r="23" spans="1:29" ht="16.5" customHeight="1" x14ac:dyDescent="0.3">
      <c r="A23" s="229" t="s">
        <v>151</v>
      </c>
      <c r="B23" s="352" t="s">
        <v>170</v>
      </c>
      <c r="C23" s="75"/>
      <c r="D23" s="75"/>
      <c r="E23" s="75"/>
      <c r="F23" s="75"/>
      <c r="G23" s="75"/>
      <c r="H23" s="75"/>
      <c r="I23" s="230"/>
      <c r="K23" s="201"/>
      <c r="V23" s="201"/>
    </row>
    <row r="24" spans="1:29" ht="16.5" customHeight="1" thickBot="1" x14ac:dyDescent="0.35">
      <c r="A24" s="231" t="s">
        <v>85</v>
      </c>
      <c r="B24" s="353" t="s">
        <v>86</v>
      </c>
      <c r="C24" s="232"/>
      <c r="D24" s="232"/>
      <c r="E24" s="584" t="s">
        <v>142</v>
      </c>
      <c r="F24" s="584"/>
      <c r="G24" s="584"/>
      <c r="H24" s="584"/>
      <c r="I24" s="585"/>
      <c r="K24" s="201"/>
      <c r="V24" s="201"/>
    </row>
    <row r="25" spans="1:29" ht="16.5" customHeight="1" x14ac:dyDescent="0.3">
      <c r="A25" s="233"/>
      <c r="B25" s="234"/>
      <c r="C25" s="580" t="s">
        <v>182</v>
      </c>
      <c r="D25" s="581"/>
      <c r="E25" s="354">
        <v>0</v>
      </c>
      <c r="F25" s="354">
        <v>0</v>
      </c>
      <c r="G25" s="354">
        <v>0</v>
      </c>
      <c r="H25" s="354">
        <v>0</v>
      </c>
      <c r="I25" s="355">
        <v>0</v>
      </c>
      <c r="K25" s="175"/>
      <c r="N25" s="149"/>
      <c r="O25" s="149"/>
      <c r="P25" s="149"/>
      <c r="Q25" s="149"/>
      <c r="R25" s="149"/>
      <c r="V25" s="175"/>
      <c r="Y25" s="149"/>
      <c r="Z25" s="149"/>
      <c r="AA25" s="149"/>
      <c r="AB25" s="149"/>
      <c r="AC25" s="149"/>
    </row>
    <row r="26" spans="1:29" ht="16.5" customHeight="1" x14ac:dyDescent="0.3">
      <c r="A26" s="235"/>
      <c r="B26" s="236"/>
      <c r="C26" s="582" t="s">
        <v>101</v>
      </c>
      <c r="D26" s="583"/>
      <c r="E26" s="356">
        <v>0</v>
      </c>
      <c r="F26" s="356">
        <v>0</v>
      </c>
      <c r="G26" s="356">
        <v>0</v>
      </c>
      <c r="H26" s="356">
        <v>0</v>
      </c>
      <c r="I26" s="357">
        <v>0</v>
      </c>
      <c r="L26" s="175"/>
      <c r="M26" s="240"/>
      <c r="N26" s="240"/>
      <c r="O26" s="240"/>
      <c r="P26" s="240"/>
      <c r="Q26" s="240"/>
      <c r="R26" s="240"/>
      <c r="W26" s="175"/>
      <c r="X26" s="240"/>
      <c r="Y26" s="240"/>
      <c r="Z26" s="240"/>
      <c r="AA26" s="240"/>
      <c r="AB26" s="240"/>
      <c r="AC26" s="240"/>
    </row>
    <row r="27" spans="1:29" ht="33.65" customHeight="1" x14ac:dyDescent="0.3">
      <c r="A27" s="96"/>
      <c r="B27" s="237" t="s">
        <v>239</v>
      </c>
      <c r="C27" s="237" t="s">
        <v>225</v>
      </c>
      <c r="D27" s="237" t="s">
        <v>100</v>
      </c>
      <c r="E27" s="238" t="s">
        <v>88</v>
      </c>
      <c r="F27" s="238" t="s">
        <v>89</v>
      </c>
      <c r="G27" s="238" t="s">
        <v>90</v>
      </c>
      <c r="H27" s="238" t="s">
        <v>91</v>
      </c>
      <c r="I27" s="239" t="s">
        <v>92</v>
      </c>
      <c r="K27" s="175"/>
      <c r="M27" s="245"/>
      <c r="N27" s="246"/>
      <c r="O27" s="246"/>
      <c r="P27" s="246"/>
      <c r="Q27" s="246"/>
      <c r="R27" s="246"/>
      <c r="V27" s="175"/>
      <c r="X27" s="245"/>
      <c r="Y27" s="246"/>
      <c r="Z27" s="246"/>
      <c r="AA27" s="246"/>
      <c r="AB27" s="246"/>
      <c r="AC27" s="246"/>
    </row>
    <row r="28" spans="1:29" ht="16.5" customHeight="1" x14ac:dyDescent="0.3">
      <c r="A28" s="241" t="s">
        <v>93</v>
      </c>
      <c r="B28" s="185"/>
      <c r="C28" s="359"/>
      <c r="D28" s="242" t="s">
        <v>99</v>
      </c>
      <c r="E28" s="243">
        <f>C28*(E25+E26)</f>
        <v>0</v>
      </c>
      <c r="F28" s="243">
        <f>C28*(F25+F26)*(1+$B$3)</f>
        <v>0</v>
      </c>
      <c r="G28" s="243">
        <f>C28*(G25+G26)*(1+$B$3)^2</f>
        <v>0</v>
      </c>
      <c r="H28" s="243">
        <f>C28*(H25+H26)*(1+$B$3)^3</f>
        <v>0</v>
      </c>
      <c r="I28" s="244">
        <f>C28*(I25+I26)*(1+$B$3)^4</f>
        <v>0</v>
      </c>
      <c r="K28" s="175"/>
      <c r="L28" s="149"/>
      <c r="M28" s="245"/>
      <c r="N28" s="246"/>
      <c r="O28" s="246"/>
      <c r="P28" s="246"/>
      <c r="Q28" s="246"/>
      <c r="R28" s="246"/>
      <c r="V28" s="175"/>
      <c r="W28" s="149"/>
      <c r="X28" s="245"/>
      <c r="Y28" s="246"/>
      <c r="Z28" s="246"/>
      <c r="AA28" s="246"/>
      <c r="AB28" s="246"/>
      <c r="AC28" s="246"/>
    </row>
    <row r="29" spans="1:29" ht="16.5" customHeight="1" x14ac:dyDescent="0.3">
      <c r="A29" s="241" t="s">
        <v>97</v>
      </c>
      <c r="B29" s="358"/>
      <c r="C29" s="359"/>
      <c r="D29" s="242" t="s">
        <v>99</v>
      </c>
      <c r="E29" s="243">
        <f>((B29*C29)*(E25+E26))</f>
        <v>0</v>
      </c>
      <c r="F29" s="243">
        <f>((B29*C29)*(F25+F26)*(1+$B$3))</f>
        <v>0</v>
      </c>
      <c r="G29" s="243">
        <f>((B29*C29)*(G25+G26))*(1+$B$3)^2</f>
        <v>0</v>
      </c>
      <c r="H29" s="243">
        <f>((B29*C29)*(H25+H26))*(1+$B$3)^3</f>
        <v>0</v>
      </c>
      <c r="I29" s="244">
        <f>((B29*C29)*(I25+I26))*(1+$B$3)^4</f>
        <v>0</v>
      </c>
      <c r="K29" s="175"/>
      <c r="L29" s="149"/>
      <c r="M29" s="245"/>
      <c r="N29" s="246"/>
      <c r="O29" s="246"/>
      <c r="P29" s="246"/>
      <c r="Q29" s="246"/>
      <c r="R29" s="246"/>
      <c r="V29" s="175"/>
      <c r="W29" s="149"/>
      <c r="X29" s="245"/>
      <c r="Y29" s="246"/>
      <c r="Z29" s="246"/>
      <c r="AA29" s="246"/>
      <c r="AB29" s="246"/>
      <c r="AC29" s="246"/>
    </row>
    <row r="30" spans="1:29" ht="16.5" customHeight="1" x14ac:dyDescent="0.3">
      <c r="A30" s="241" t="s">
        <v>98</v>
      </c>
      <c r="B30" s="358"/>
      <c r="C30" s="359"/>
      <c r="D30" s="242" t="s">
        <v>99</v>
      </c>
      <c r="E30" s="243">
        <f>IF(B30=1,(E25+E26)*C30, IF(B30=0,0,((B30*C30-0.5*C30)*(E25+E26))))</f>
        <v>0</v>
      </c>
      <c r="F30" s="243">
        <f>IF(B30=1,(F25+F26)*C30*(1+$B$3), IF(B30=0,0,((B30*C30-0.5*C30)*(F25+F26))*(1+$B$3)))</f>
        <v>0</v>
      </c>
      <c r="G30" s="243">
        <f>IF(B30=1,(G25+G26)*C30*(1+$B$3)^2, IF(B30=0,0,((B30*C30-0.5*C30)*(G25+G26))*(1+$B$3)^2))</f>
        <v>0</v>
      </c>
      <c r="H30" s="243">
        <f>IF(B30=1,(H25+H26)*C30*(1+$B$3)^3, IF(B30=0,0,((B30*C30-0.5*C30)*(H25+H26))*(1+$B$3)^3))</f>
        <v>0</v>
      </c>
      <c r="I30" s="244">
        <f>IF(B30=1,(I25+I26)*C30*(1+$B$3)^4, IF(B30=0,0,((B30*C30-0.5*C30)*(I25+I26))*(1+$B$3)^4))</f>
        <v>0</v>
      </c>
      <c r="K30" s="175"/>
      <c r="M30" s="245"/>
      <c r="N30" s="246"/>
      <c r="O30" s="246"/>
      <c r="P30" s="246"/>
      <c r="Q30" s="246"/>
      <c r="R30" s="246"/>
      <c r="V30" s="175"/>
      <c r="X30" s="245"/>
      <c r="Y30" s="246"/>
      <c r="Z30" s="246"/>
      <c r="AA30" s="246"/>
      <c r="AB30" s="246"/>
      <c r="AC30" s="246"/>
    </row>
    <row r="31" spans="1:29" ht="16.5" customHeight="1" x14ac:dyDescent="0.3">
      <c r="A31" s="241" t="s">
        <v>94</v>
      </c>
      <c r="B31" s="358"/>
      <c r="C31" s="359"/>
      <c r="D31" s="242" t="s">
        <v>99</v>
      </c>
      <c r="E31" s="243">
        <f>C31*(E25+E26)*B31</f>
        <v>0</v>
      </c>
      <c r="F31" s="243">
        <f>C31*(F25+F26)*B31*(1+$B$3)</f>
        <v>0</v>
      </c>
      <c r="G31" s="243">
        <f>C31*(G25+G26)*B31*(1+$B$3)^2</f>
        <v>0</v>
      </c>
      <c r="H31" s="243">
        <f>C31*(H25+H26)*B31*(1+$B$3)^3</f>
        <v>0</v>
      </c>
      <c r="I31" s="244">
        <f>C31*(I25+I26)*B31*(1+$B$3)^4</f>
        <v>0</v>
      </c>
      <c r="K31" s="175"/>
      <c r="M31" s="245"/>
      <c r="N31" s="246"/>
      <c r="O31" s="246"/>
      <c r="P31" s="246"/>
      <c r="Q31" s="246"/>
      <c r="R31" s="246"/>
      <c r="V31" s="175"/>
      <c r="X31" s="245"/>
      <c r="Y31" s="246"/>
      <c r="Z31" s="246"/>
      <c r="AA31" s="246"/>
      <c r="AB31" s="246"/>
      <c r="AC31" s="246"/>
    </row>
    <row r="32" spans="1:29" ht="16.5" customHeight="1" x14ac:dyDescent="0.3">
      <c r="A32" s="241" t="s">
        <v>96</v>
      </c>
      <c r="B32" s="185"/>
      <c r="C32" s="359"/>
      <c r="D32" s="359"/>
      <c r="E32" s="243">
        <f>C32*E25+D32*E26</f>
        <v>0</v>
      </c>
      <c r="F32" s="243">
        <f>(C32*F25+D32*F26)*(1+$B$3)</f>
        <v>0</v>
      </c>
      <c r="G32" s="243">
        <f>(C32*G25+D32*G26)*(1+$B$3)^2</f>
        <v>0</v>
      </c>
      <c r="H32" s="243">
        <f>(C32*H25+D32*H26)*(1+$B$3)^3</f>
        <v>0</v>
      </c>
      <c r="I32" s="243">
        <f>(C32*I25+D32*I26)*(1+$B$3)^4</f>
        <v>0</v>
      </c>
      <c r="J32" s="225"/>
      <c r="K32" s="175"/>
      <c r="M32" s="245"/>
      <c r="N32" s="246"/>
      <c r="O32" s="246"/>
      <c r="P32" s="246"/>
      <c r="Q32" s="246"/>
      <c r="R32" s="246"/>
      <c r="V32" s="175"/>
      <c r="X32" s="245"/>
      <c r="Y32" s="246"/>
      <c r="Z32" s="246"/>
      <c r="AA32" s="246"/>
      <c r="AB32" s="246"/>
      <c r="AC32" s="246"/>
    </row>
    <row r="33" spans="1:29" ht="16.5" customHeight="1" x14ac:dyDescent="0.3">
      <c r="A33" s="360" t="s">
        <v>240</v>
      </c>
      <c r="B33" s="383" t="s">
        <v>242</v>
      </c>
      <c r="C33" s="290"/>
      <c r="D33" s="290"/>
      <c r="E33" s="362"/>
      <c r="F33" s="362"/>
      <c r="G33" s="362"/>
      <c r="H33" s="362"/>
      <c r="I33" s="362"/>
      <c r="J33" s="225"/>
      <c r="K33" s="175"/>
      <c r="M33" s="245"/>
      <c r="N33" s="246"/>
      <c r="O33" s="246"/>
      <c r="P33" s="246"/>
      <c r="Q33" s="246"/>
      <c r="R33" s="246"/>
      <c r="V33" s="175"/>
      <c r="X33" s="245"/>
      <c r="Y33" s="246"/>
      <c r="Z33" s="246"/>
      <c r="AA33" s="246"/>
      <c r="AB33" s="246"/>
      <c r="AC33" s="246"/>
    </row>
    <row r="34" spans="1:29" ht="16.5" customHeight="1" thickBot="1" x14ac:dyDescent="0.35">
      <c r="A34" s="361" t="s">
        <v>171</v>
      </c>
      <c r="B34" s="384" t="s">
        <v>241</v>
      </c>
      <c r="C34" s="247"/>
      <c r="D34" s="247"/>
      <c r="E34" s="364"/>
      <c r="F34" s="364"/>
      <c r="G34" s="364"/>
      <c r="H34" s="364"/>
      <c r="I34" s="366"/>
      <c r="K34" s="175"/>
      <c r="M34" s="149"/>
      <c r="N34" s="246"/>
      <c r="O34" s="246"/>
      <c r="P34" s="246"/>
      <c r="Q34" s="246"/>
      <c r="R34" s="246"/>
      <c r="V34" s="175"/>
      <c r="X34" s="149"/>
      <c r="Y34" s="246"/>
      <c r="Z34" s="246"/>
      <c r="AA34" s="246"/>
      <c r="AB34" s="246"/>
      <c r="AC34" s="246"/>
    </row>
    <row r="35" spans="1:29" ht="15" thickTop="1" thickBot="1" x14ac:dyDescent="0.35">
      <c r="A35" s="248" t="s">
        <v>95</v>
      </c>
      <c r="B35" s="249"/>
      <c r="C35" s="250"/>
      <c r="D35" s="250"/>
      <c r="E35" s="251">
        <f>SUM(E28:E34)</f>
        <v>0</v>
      </c>
      <c r="F35" s="251">
        <f>SUM(F28:F34)</f>
        <v>0</v>
      </c>
      <c r="G35" s="251">
        <f>SUM(G28:G34)</f>
        <v>0</v>
      </c>
      <c r="H35" s="251">
        <f>SUM(H28:H34)</f>
        <v>0</v>
      </c>
      <c r="I35" s="252">
        <f>SUM(I28:I34)</f>
        <v>0</v>
      </c>
    </row>
    <row r="36" spans="1:29" hidden="1" x14ac:dyDescent="0.3">
      <c r="A36" s="253"/>
      <c r="B36" s="253"/>
      <c r="C36" s="253"/>
      <c r="D36" s="253" t="s">
        <v>168</v>
      </c>
      <c r="E36" s="253">
        <f>IF(B23="Domestic",E35,0)</f>
        <v>0</v>
      </c>
      <c r="F36" s="253">
        <f>IF(B23="Domestic",F35,0)</f>
        <v>0</v>
      </c>
      <c r="G36" s="253">
        <f>IF(B23="Domestic",G35,0)</f>
        <v>0</v>
      </c>
      <c r="H36" s="253">
        <f>IF(B23="Domestic",H35,0)</f>
        <v>0</v>
      </c>
      <c r="I36" s="253">
        <f>IF(B23="Domestic",I35,0)</f>
        <v>0</v>
      </c>
      <c r="J36" s="225"/>
    </row>
    <row r="37" spans="1:29" hidden="1" x14ac:dyDescent="0.3">
      <c r="A37" s="253"/>
      <c r="B37" s="253"/>
      <c r="C37" s="253"/>
      <c r="D37" s="253" t="s">
        <v>169</v>
      </c>
      <c r="E37" s="253">
        <f>IF(B23="Domestic",0,E35)</f>
        <v>0</v>
      </c>
      <c r="F37" s="253">
        <f>IF(B23="Domestic",0,F35)</f>
        <v>0</v>
      </c>
      <c r="G37" s="253">
        <f>IF(B23="Domestic",0,G35)</f>
        <v>0</v>
      </c>
      <c r="H37" s="253">
        <f>IF(B23="Domestic",0,H35)</f>
        <v>0</v>
      </c>
      <c r="I37" s="254">
        <f>IF(B23="Domestic",0,I35)</f>
        <v>0</v>
      </c>
    </row>
    <row r="38" spans="1:29" ht="14.5" thickBot="1" x14ac:dyDescent="0.35">
      <c r="A38" s="253"/>
      <c r="B38" s="253"/>
      <c r="C38" s="253"/>
      <c r="D38" s="253"/>
      <c r="E38" s="253"/>
      <c r="F38" s="253"/>
      <c r="G38" s="253"/>
      <c r="H38" s="253"/>
      <c r="I38" s="253"/>
      <c r="J38" s="225"/>
    </row>
    <row r="39" spans="1:29" ht="14.25" customHeight="1" x14ac:dyDescent="0.3">
      <c r="A39" s="226" t="s">
        <v>155</v>
      </c>
      <c r="B39" s="351" t="s">
        <v>84</v>
      </c>
      <c r="C39" s="395"/>
      <c r="D39" s="395"/>
      <c r="E39" s="227"/>
      <c r="F39" s="227"/>
      <c r="G39" s="227"/>
      <c r="H39" s="227"/>
      <c r="I39" s="228"/>
      <c r="K39" s="201"/>
      <c r="V39" s="201"/>
    </row>
    <row r="40" spans="1:29" ht="16.5" customHeight="1" x14ac:dyDescent="0.3">
      <c r="A40" s="229" t="s">
        <v>151</v>
      </c>
      <c r="B40" s="352" t="s">
        <v>152</v>
      </c>
      <c r="C40" s="75"/>
      <c r="D40" s="75"/>
      <c r="E40" s="75"/>
      <c r="F40" s="75"/>
      <c r="G40" s="75"/>
      <c r="H40" s="75"/>
      <c r="I40" s="230"/>
      <c r="K40" s="201"/>
      <c r="V40" s="201"/>
    </row>
    <row r="41" spans="1:29" ht="14.25" customHeight="1" thickBot="1" x14ac:dyDescent="0.35">
      <c r="A41" s="231" t="s">
        <v>85</v>
      </c>
      <c r="B41" s="353" t="s">
        <v>86</v>
      </c>
      <c r="C41" s="232"/>
      <c r="D41" s="232"/>
      <c r="E41" s="584" t="s">
        <v>142</v>
      </c>
      <c r="F41" s="584"/>
      <c r="G41" s="584"/>
      <c r="H41" s="584"/>
      <c r="I41" s="585"/>
      <c r="K41" s="201"/>
      <c r="V41" s="201"/>
    </row>
    <row r="42" spans="1:29" ht="14.25" customHeight="1" x14ac:dyDescent="0.3">
      <c r="A42" s="233"/>
      <c r="B42" s="234"/>
      <c r="C42" s="580" t="s">
        <v>182</v>
      </c>
      <c r="D42" s="581"/>
      <c r="E42" s="354">
        <v>0</v>
      </c>
      <c r="F42" s="354">
        <v>0</v>
      </c>
      <c r="G42" s="354">
        <v>0</v>
      </c>
      <c r="H42" s="354">
        <v>0</v>
      </c>
      <c r="I42" s="355">
        <v>0</v>
      </c>
      <c r="K42" s="175"/>
      <c r="N42" s="149"/>
      <c r="O42" s="149"/>
      <c r="P42" s="149"/>
      <c r="Q42" s="149"/>
      <c r="R42" s="149"/>
      <c r="V42" s="175"/>
      <c r="Y42" s="149"/>
      <c r="Z42" s="149"/>
      <c r="AA42" s="149"/>
      <c r="AB42" s="149"/>
      <c r="AC42" s="149"/>
    </row>
    <row r="43" spans="1:29" ht="14.25" customHeight="1" x14ac:dyDescent="0.3">
      <c r="A43" s="235"/>
      <c r="B43" s="236"/>
      <c r="C43" s="582" t="s">
        <v>101</v>
      </c>
      <c r="D43" s="583"/>
      <c r="E43" s="356">
        <v>0</v>
      </c>
      <c r="F43" s="356">
        <v>0</v>
      </c>
      <c r="G43" s="356">
        <v>0</v>
      </c>
      <c r="H43" s="356">
        <v>0</v>
      </c>
      <c r="I43" s="357">
        <v>0</v>
      </c>
      <c r="L43" s="175"/>
      <c r="M43" s="240"/>
      <c r="N43" s="240"/>
      <c r="O43" s="240"/>
      <c r="P43" s="240"/>
      <c r="Q43" s="240"/>
      <c r="R43" s="240"/>
      <c r="W43" s="175"/>
      <c r="X43" s="240"/>
      <c r="Y43" s="240"/>
      <c r="Z43" s="240"/>
      <c r="AA43" s="240"/>
      <c r="AB43" s="240"/>
      <c r="AC43" s="240"/>
    </row>
    <row r="44" spans="1:29" ht="28" customHeight="1" x14ac:dyDescent="0.3">
      <c r="A44" s="96"/>
      <c r="B44" s="237" t="s">
        <v>239</v>
      </c>
      <c r="C44" s="237" t="s">
        <v>225</v>
      </c>
      <c r="D44" s="255" t="s">
        <v>100</v>
      </c>
      <c r="E44" s="238" t="s">
        <v>88</v>
      </c>
      <c r="F44" s="238" t="s">
        <v>89</v>
      </c>
      <c r="G44" s="238" t="s">
        <v>90</v>
      </c>
      <c r="H44" s="238" t="s">
        <v>91</v>
      </c>
      <c r="I44" s="239" t="s">
        <v>92</v>
      </c>
      <c r="K44" s="175"/>
      <c r="M44" s="245"/>
      <c r="N44" s="246"/>
      <c r="O44" s="246"/>
      <c r="P44" s="246"/>
      <c r="Q44" s="246"/>
      <c r="R44" s="246"/>
      <c r="V44" s="175"/>
      <c r="X44" s="245"/>
      <c r="Y44" s="246"/>
      <c r="Z44" s="246"/>
      <c r="AA44" s="246"/>
      <c r="AB44" s="246"/>
      <c r="AC44" s="246"/>
    </row>
    <row r="45" spans="1:29" ht="14.25" customHeight="1" x14ac:dyDescent="0.3">
      <c r="A45" s="241" t="s">
        <v>93</v>
      </c>
      <c r="B45" s="185"/>
      <c r="C45" s="359"/>
      <c r="D45" s="242" t="s">
        <v>99</v>
      </c>
      <c r="E45" s="243">
        <f>C45*(E42+E43)</f>
        <v>0</v>
      </c>
      <c r="F45" s="243">
        <f>C45*(F42+F43)*(1+$B$3)</f>
        <v>0</v>
      </c>
      <c r="G45" s="243">
        <f>C45*(G42+G43)*(1+$B$3)^2</f>
        <v>0</v>
      </c>
      <c r="H45" s="243">
        <f>C45*(H42+H43)*(1+$B$3)^3</f>
        <v>0</v>
      </c>
      <c r="I45" s="244">
        <f>C45*(I42+I43)*(1+$B$3)^4</f>
        <v>0</v>
      </c>
      <c r="K45" s="175"/>
      <c r="L45" s="149"/>
      <c r="M45" s="245"/>
      <c r="N45" s="246"/>
      <c r="O45" s="246"/>
      <c r="P45" s="246"/>
      <c r="Q45" s="246"/>
      <c r="R45" s="246"/>
      <c r="V45" s="175"/>
      <c r="W45" s="149"/>
      <c r="X45" s="245"/>
      <c r="Y45" s="246"/>
      <c r="Z45" s="246"/>
      <c r="AA45" s="246"/>
      <c r="AB45" s="246"/>
      <c r="AC45" s="246"/>
    </row>
    <row r="46" spans="1:29" ht="14.25" customHeight="1" x14ac:dyDescent="0.3">
      <c r="A46" s="241" t="s">
        <v>97</v>
      </c>
      <c r="B46" s="358"/>
      <c r="C46" s="359"/>
      <c r="D46" s="242" t="s">
        <v>99</v>
      </c>
      <c r="E46" s="243">
        <f>((B46*C46)*(E42+E43))</f>
        <v>0</v>
      </c>
      <c r="F46" s="243">
        <f>((B46*C46)*(F42+F43)*(1+$B$3))</f>
        <v>0</v>
      </c>
      <c r="G46" s="243">
        <f>((B46*C46)*(G42+G43))*(1+$B$3)^2</f>
        <v>0</v>
      </c>
      <c r="H46" s="243">
        <f>((B46*C46)*(H42+H43))*(1+$B$3)^3</f>
        <v>0</v>
      </c>
      <c r="I46" s="244">
        <f>((B46*C46)*(I42+I43))*(1+$B$3)^4</f>
        <v>0</v>
      </c>
      <c r="K46" s="175"/>
      <c r="L46" s="149"/>
      <c r="M46" s="245"/>
      <c r="N46" s="246"/>
      <c r="O46" s="246"/>
      <c r="P46" s="246"/>
      <c r="Q46" s="246"/>
      <c r="R46" s="246"/>
      <c r="V46" s="175"/>
      <c r="W46" s="149"/>
      <c r="X46" s="245"/>
      <c r="Y46" s="246"/>
      <c r="Z46" s="246"/>
      <c r="AA46" s="246"/>
      <c r="AB46" s="246"/>
      <c r="AC46" s="246"/>
    </row>
    <row r="47" spans="1:29" ht="14.25" customHeight="1" x14ac:dyDescent="0.3">
      <c r="A47" s="241" t="s">
        <v>98</v>
      </c>
      <c r="B47" s="358"/>
      <c r="C47" s="359"/>
      <c r="D47" s="242" t="s">
        <v>99</v>
      </c>
      <c r="E47" s="243">
        <f>IF(B47=1,(E42+E43)*C47, IF(B47=0,0,((B47*C47-0.5*C47)*(E42+E43))))</f>
        <v>0</v>
      </c>
      <c r="F47" s="243">
        <f>IF(B47=1,(F42+F43)*C47*(1+$B$3), IF(B47=0,0,((B47*C47-0.5*C47)*(F42+F43))*(1+$B$3)))</f>
        <v>0</v>
      </c>
      <c r="G47" s="243">
        <f>IF(B47=1,(G42+G43)*C47*(1+$B$3)^2, IF(B47=0,0,((B47*C47-0.5*C47)*(G42+G43))*(1+$B$3)^2))</f>
        <v>0</v>
      </c>
      <c r="H47" s="243">
        <f>IF(B47=1,(H42+H43)*C47*(1+$B$3)^3, IF(B47=0,0,((B47*C47-0.5*C47)*(H42+H43))*(1+$B$3)^3))</f>
        <v>0</v>
      </c>
      <c r="I47" s="244">
        <f>IF(B47=1,(I42+I43)*C47*(1+$B$3)^4, IF(B47=0,0,((B47*C47-0.5*C47)*(I42+I43))*(1+$B$3)^4))</f>
        <v>0</v>
      </c>
      <c r="K47" s="175"/>
      <c r="M47" s="245"/>
      <c r="N47" s="246"/>
      <c r="O47" s="246"/>
      <c r="P47" s="246"/>
      <c r="Q47" s="246"/>
      <c r="R47" s="246"/>
      <c r="V47" s="175"/>
      <c r="X47" s="245"/>
      <c r="Y47" s="246"/>
      <c r="Z47" s="246"/>
      <c r="AA47" s="246"/>
      <c r="AB47" s="246"/>
      <c r="AC47" s="246"/>
    </row>
    <row r="48" spans="1:29" ht="14.25" customHeight="1" x14ac:dyDescent="0.3">
      <c r="A48" s="241" t="s">
        <v>94</v>
      </c>
      <c r="B48" s="358"/>
      <c r="C48" s="359"/>
      <c r="D48" s="242" t="s">
        <v>99</v>
      </c>
      <c r="E48" s="243">
        <f>C48*(E42+E43)*B48</f>
        <v>0</v>
      </c>
      <c r="F48" s="243">
        <f>C48*(F42+F43)*B48*(1+$B$3)</f>
        <v>0</v>
      </c>
      <c r="G48" s="243">
        <f>C48*(G42+G43)*B48*(1+$B$3)^2</f>
        <v>0</v>
      </c>
      <c r="H48" s="243">
        <f>C48*(H42+H43)*B48*(1+$B$3)^3</f>
        <v>0</v>
      </c>
      <c r="I48" s="244">
        <f>C48*(I42+I43)*B48*(1+$B$3)^4</f>
        <v>0</v>
      </c>
      <c r="K48" s="175"/>
      <c r="M48" s="245"/>
      <c r="N48" s="246"/>
      <c r="O48" s="246"/>
      <c r="P48" s="246"/>
      <c r="Q48" s="246"/>
      <c r="R48" s="246"/>
      <c r="V48" s="175"/>
      <c r="X48" s="245"/>
      <c r="Y48" s="246"/>
      <c r="Z48" s="246"/>
      <c r="AA48" s="246"/>
      <c r="AB48" s="246"/>
      <c r="AC48" s="246"/>
    </row>
    <row r="49" spans="1:29" ht="14.25" customHeight="1" x14ac:dyDescent="0.3">
      <c r="A49" s="241" t="s">
        <v>96</v>
      </c>
      <c r="B49" s="185"/>
      <c r="C49" s="359"/>
      <c r="D49" s="359"/>
      <c r="E49" s="243">
        <f>C49*E42+D49*E43</f>
        <v>0</v>
      </c>
      <c r="F49" s="243">
        <f>(C49*F42+D49*F43)*(1+$B$3)</f>
        <v>0</v>
      </c>
      <c r="G49" s="243">
        <f>(C49*G42+D49*G43)*(1+$B$3)^2</f>
        <v>0</v>
      </c>
      <c r="H49" s="243">
        <f>(C49*H42+D49*H43)*(1+$B$3)^3</f>
        <v>0</v>
      </c>
      <c r="I49" s="243">
        <f>(C49*I42+D49*I43)*(1+$B$3)^4</f>
        <v>0</v>
      </c>
      <c r="J49" s="225"/>
      <c r="K49" s="175"/>
      <c r="M49" s="245"/>
      <c r="N49" s="246"/>
      <c r="O49" s="246"/>
      <c r="P49" s="246"/>
      <c r="Q49" s="246"/>
      <c r="R49" s="246"/>
      <c r="V49" s="175"/>
      <c r="X49" s="245"/>
      <c r="Y49" s="246"/>
      <c r="Z49" s="246"/>
      <c r="AA49" s="246"/>
      <c r="AB49" s="246"/>
      <c r="AC49" s="246"/>
    </row>
    <row r="50" spans="1:29" ht="16.5" customHeight="1" x14ac:dyDescent="0.3">
      <c r="A50" s="360" t="s">
        <v>240</v>
      </c>
      <c r="B50" s="383" t="s">
        <v>242</v>
      </c>
      <c r="C50" s="290"/>
      <c r="D50" s="290"/>
      <c r="E50" s="362"/>
      <c r="F50" s="362"/>
      <c r="G50" s="362"/>
      <c r="H50" s="362"/>
      <c r="I50" s="362"/>
      <c r="J50" s="225"/>
      <c r="K50" s="175"/>
      <c r="M50" s="245"/>
      <c r="N50" s="246"/>
      <c r="O50" s="246"/>
      <c r="P50" s="246"/>
      <c r="Q50" s="246"/>
      <c r="R50" s="246"/>
      <c r="V50" s="175"/>
      <c r="X50" s="245"/>
      <c r="Y50" s="246"/>
      <c r="Z50" s="246"/>
      <c r="AA50" s="246"/>
      <c r="AB50" s="246"/>
      <c r="AC50" s="246"/>
    </row>
    <row r="51" spans="1:29" ht="14.25" customHeight="1" thickBot="1" x14ac:dyDescent="0.35">
      <c r="A51" s="361" t="s">
        <v>171</v>
      </c>
      <c r="B51" s="384" t="s">
        <v>241</v>
      </c>
      <c r="C51" s="247"/>
      <c r="D51" s="247"/>
      <c r="E51" s="364"/>
      <c r="F51" s="364"/>
      <c r="G51" s="364"/>
      <c r="H51" s="364"/>
      <c r="I51" s="364"/>
      <c r="J51" s="225"/>
      <c r="K51" s="175"/>
      <c r="M51" s="149"/>
      <c r="N51" s="246"/>
      <c r="O51" s="246"/>
      <c r="P51" s="246"/>
      <c r="Q51" s="246"/>
      <c r="R51" s="246"/>
      <c r="V51" s="175"/>
      <c r="X51" s="149"/>
      <c r="Y51" s="246"/>
      <c r="Z51" s="246"/>
      <c r="AA51" s="246"/>
      <c r="AB51" s="246"/>
      <c r="AC51" s="246"/>
    </row>
    <row r="52" spans="1:29" ht="15" thickTop="1" thickBot="1" x14ac:dyDescent="0.35">
      <c r="A52" s="248" t="s">
        <v>95</v>
      </c>
      <c r="B52" s="249"/>
      <c r="C52" s="250"/>
      <c r="D52" s="250"/>
      <c r="E52" s="251">
        <f>SUM(E45:E51)</f>
        <v>0</v>
      </c>
      <c r="F52" s="251">
        <f>SUM(F45:F51)</f>
        <v>0</v>
      </c>
      <c r="G52" s="251">
        <f>SUM(G45:G51)</f>
        <v>0</v>
      </c>
      <c r="H52" s="251">
        <f>SUM(H45:H51)</f>
        <v>0</v>
      </c>
      <c r="I52" s="252">
        <f>SUM(I45:I51)</f>
        <v>0</v>
      </c>
    </row>
    <row r="53" spans="1:29" hidden="1" x14ac:dyDescent="0.3">
      <c r="A53" s="253"/>
      <c r="B53" s="253"/>
      <c r="C53" s="253"/>
      <c r="D53" s="253" t="s">
        <v>168</v>
      </c>
      <c r="E53" s="253">
        <f>IF(B40="Domestic",E52,0)</f>
        <v>0</v>
      </c>
      <c r="F53" s="253">
        <f>IF(B40="Domestic",F52,0)</f>
        <v>0</v>
      </c>
      <c r="G53" s="253">
        <f>IF(B40="Domestic",G52,0)</f>
        <v>0</v>
      </c>
      <c r="H53" s="253">
        <f>IF(B40="Domestic",H52,0)</f>
        <v>0</v>
      </c>
      <c r="I53" s="253">
        <f>IF(B40="Domestic",I52,0)</f>
        <v>0</v>
      </c>
      <c r="J53" s="225"/>
    </row>
    <row r="54" spans="1:29" hidden="1" x14ac:dyDescent="0.3">
      <c r="A54" s="253"/>
      <c r="B54" s="253"/>
      <c r="C54" s="253"/>
      <c r="D54" s="253" t="s">
        <v>169</v>
      </c>
      <c r="E54" s="253">
        <f>IF(B40="Domestic",0,E52)</f>
        <v>0</v>
      </c>
      <c r="F54" s="253">
        <f>IF(B40="Domestic",0,F52)</f>
        <v>0</v>
      </c>
      <c r="G54" s="253">
        <f>IF(B40="Domestic",0,G52)</f>
        <v>0</v>
      </c>
      <c r="H54" s="253">
        <f>IF(B40="Domestic",0,H52)</f>
        <v>0</v>
      </c>
      <c r="I54" s="253">
        <f>IF(B40="Domestic",0,I52)</f>
        <v>0</v>
      </c>
      <c r="J54" s="225"/>
    </row>
    <row r="55" spans="1:29" ht="14.5" thickBot="1" x14ac:dyDescent="0.35">
      <c r="A55" s="253"/>
      <c r="B55" s="253"/>
      <c r="C55" s="253"/>
      <c r="D55" s="253"/>
      <c r="E55" s="253"/>
      <c r="F55" s="253"/>
      <c r="G55" s="253"/>
      <c r="H55" s="253"/>
      <c r="I55" s="253"/>
      <c r="J55" s="225"/>
    </row>
    <row r="56" spans="1:29" ht="16.5" customHeight="1" x14ac:dyDescent="0.3">
      <c r="A56" s="226" t="s">
        <v>156</v>
      </c>
      <c r="B56" s="351" t="s">
        <v>84</v>
      </c>
      <c r="C56" s="395"/>
      <c r="D56" s="395"/>
      <c r="E56" s="227"/>
      <c r="F56" s="227"/>
      <c r="G56" s="227"/>
      <c r="H56" s="227"/>
      <c r="I56" s="228"/>
      <c r="K56" s="201"/>
      <c r="V56" s="201"/>
    </row>
    <row r="57" spans="1:29" ht="16.5" customHeight="1" x14ac:dyDescent="0.3">
      <c r="A57" s="229" t="s">
        <v>151</v>
      </c>
      <c r="B57" s="352" t="s">
        <v>152</v>
      </c>
      <c r="C57" s="75"/>
      <c r="D57" s="75"/>
      <c r="E57" s="75"/>
      <c r="F57" s="75"/>
      <c r="G57" s="75"/>
      <c r="H57" s="75"/>
      <c r="I57" s="230"/>
      <c r="K57" s="201"/>
      <c r="V57" s="201"/>
    </row>
    <row r="58" spans="1:29" ht="16.5" customHeight="1" thickBot="1" x14ac:dyDescent="0.35">
      <c r="A58" s="231" t="s">
        <v>85</v>
      </c>
      <c r="B58" s="353" t="s">
        <v>86</v>
      </c>
      <c r="C58" s="232"/>
      <c r="D58" s="232"/>
      <c r="E58" s="584" t="s">
        <v>142</v>
      </c>
      <c r="F58" s="584"/>
      <c r="G58" s="584"/>
      <c r="H58" s="584"/>
      <c r="I58" s="585"/>
      <c r="K58" s="201"/>
      <c r="V58" s="201"/>
    </row>
    <row r="59" spans="1:29" ht="16.5" customHeight="1" x14ac:dyDescent="0.3">
      <c r="A59" s="233"/>
      <c r="B59" s="234"/>
      <c r="C59" s="580" t="s">
        <v>182</v>
      </c>
      <c r="D59" s="581"/>
      <c r="E59" s="354">
        <v>0</v>
      </c>
      <c r="F59" s="354">
        <v>0</v>
      </c>
      <c r="G59" s="354">
        <v>0</v>
      </c>
      <c r="H59" s="354">
        <v>0</v>
      </c>
      <c r="I59" s="355">
        <v>0</v>
      </c>
      <c r="K59" s="175"/>
      <c r="N59" s="149"/>
      <c r="O59" s="149"/>
      <c r="P59" s="149"/>
      <c r="Q59" s="149"/>
      <c r="R59" s="149"/>
      <c r="V59" s="175"/>
      <c r="Y59" s="149"/>
      <c r="Z59" s="149"/>
      <c r="AA59" s="149"/>
      <c r="AB59" s="149"/>
      <c r="AC59" s="149"/>
    </row>
    <row r="60" spans="1:29" ht="16.5" customHeight="1" x14ac:dyDescent="0.3">
      <c r="A60" s="235"/>
      <c r="B60" s="236"/>
      <c r="C60" s="582" t="s">
        <v>101</v>
      </c>
      <c r="D60" s="583"/>
      <c r="E60" s="356">
        <v>0</v>
      </c>
      <c r="F60" s="356">
        <v>0</v>
      </c>
      <c r="G60" s="356">
        <v>0</v>
      </c>
      <c r="H60" s="356">
        <v>0</v>
      </c>
      <c r="I60" s="357">
        <v>0</v>
      </c>
      <c r="L60" s="175"/>
      <c r="M60" s="240"/>
      <c r="N60" s="240"/>
      <c r="O60" s="240"/>
      <c r="P60" s="240"/>
      <c r="Q60" s="240"/>
      <c r="R60" s="240"/>
      <c r="W60" s="175"/>
      <c r="X60" s="240"/>
      <c r="Y60" s="240"/>
      <c r="Z60" s="240"/>
      <c r="AA60" s="240"/>
      <c r="AB60" s="240"/>
      <c r="AC60" s="240"/>
    </row>
    <row r="61" spans="1:29" ht="33" customHeight="1" x14ac:dyDescent="0.3">
      <c r="A61" s="96"/>
      <c r="B61" s="237" t="s">
        <v>239</v>
      </c>
      <c r="C61" s="237" t="s">
        <v>225</v>
      </c>
      <c r="D61" s="237" t="s">
        <v>100</v>
      </c>
      <c r="E61" s="238" t="s">
        <v>88</v>
      </c>
      <c r="F61" s="238" t="s">
        <v>89</v>
      </c>
      <c r="G61" s="238" t="s">
        <v>90</v>
      </c>
      <c r="H61" s="238" t="s">
        <v>91</v>
      </c>
      <c r="I61" s="239" t="s">
        <v>92</v>
      </c>
      <c r="K61" s="175"/>
      <c r="M61" s="245"/>
      <c r="N61" s="246"/>
      <c r="O61" s="246"/>
      <c r="P61" s="246"/>
      <c r="Q61" s="246"/>
      <c r="R61" s="246"/>
      <c r="V61" s="175"/>
      <c r="X61" s="245"/>
      <c r="Y61" s="246"/>
      <c r="Z61" s="246"/>
      <c r="AA61" s="246"/>
      <c r="AB61" s="246"/>
      <c r="AC61" s="246"/>
    </row>
    <row r="62" spans="1:29" ht="16.5" customHeight="1" x14ac:dyDescent="0.3">
      <c r="A62" s="241" t="s">
        <v>93</v>
      </c>
      <c r="B62" s="185"/>
      <c r="C62" s="359"/>
      <c r="D62" s="242" t="s">
        <v>99</v>
      </c>
      <c r="E62" s="243">
        <f>C62*(E59+E60)</f>
        <v>0</v>
      </c>
      <c r="F62" s="243">
        <f>C62*(F59+F60)*(1+$B$3)</f>
        <v>0</v>
      </c>
      <c r="G62" s="243">
        <f>C62*(G59+G60)*(1+$B$3)^2</f>
        <v>0</v>
      </c>
      <c r="H62" s="243">
        <f>C62*(H59+H60)*(1+$B$3)^3</f>
        <v>0</v>
      </c>
      <c r="I62" s="244">
        <f>C62*(I59+I60)*(1+$B$3)^4</f>
        <v>0</v>
      </c>
      <c r="K62" s="175"/>
      <c r="L62" s="149"/>
      <c r="M62" s="245"/>
      <c r="N62" s="246"/>
      <c r="O62" s="246"/>
      <c r="P62" s="246"/>
      <c r="Q62" s="246"/>
      <c r="R62" s="246"/>
      <c r="V62" s="175"/>
      <c r="W62" s="149"/>
      <c r="X62" s="245"/>
      <c r="Y62" s="246"/>
      <c r="Z62" s="246"/>
      <c r="AA62" s="246"/>
      <c r="AB62" s="246"/>
      <c r="AC62" s="246"/>
    </row>
    <row r="63" spans="1:29" ht="16.5" customHeight="1" x14ac:dyDescent="0.3">
      <c r="A63" s="241" t="s">
        <v>97</v>
      </c>
      <c r="B63" s="358"/>
      <c r="C63" s="359"/>
      <c r="D63" s="242" t="s">
        <v>99</v>
      </c>
      <c r="E63" s="243">
        <f>((B63*C63)*(E59+E60))</f>
        <v>0</v>
      </c>
      <c r="F63" s="243">
        <f>((B63*C63)*(F59+F60)*(1+$B$3))</f>
        <v>0</v>
      </c>
      <c r="G63" s="243">
        <f>((B63*C63)*(G59+G60))*(1+$B$3)^2</f>
        <v>0</v>
      </c>
      <c r="H63" s="243">
        <f>((B63*C63)*(H59+H60))*(1+$B$3)^3</f>
        <v>0</v>
      </c>
      <c r="I63" s="244">
        <f>((B63*C63)*(I59+I60))*(1+$B$3)^4</f>
        <v>0</v>
      </c>
      <c r="K63" s="175"/>
      <c r="L63" s="149"/>
      <c r="M63" s="245"/>
      <c r="N63" s="246"/>
      <c r="O63" s="246"/>
      <c r="P63" s="246"/>
      <c r="Q63" s="246"/>
      <c r="R63" s="246"/>
      <c r="V63" s="175"/>
      <c r="W63" s="149"/>
      <c r="X63" s="245"/>
      <c r="Y63" s="246"/>
      <c r="Z63" s="246"/>
      <c r="AA63" s="246"/>
      <c r="AB63" s="246"/>
      <c r="AC63" s="246"/>
    </row>
    <row r="64" spans="1:29" ht="16.5" customHeight="1" x14ac:dyDescent="0.3">
      <c r="A64" s="241" t="s">
        <v>98</v>
      </c>
      <c r="B64" s="358"/>
      <c r="C64" s="359"/>
      <c r="D64" s="242" t="s">
        <v>99</v>
      </c>
      <c r="E64" s="243">
        <f>IF(B64=1,(E59+E60)*C64, IF(B64=0,0,((B64*C64-0.5*C64)*(E59+E60))))</f>
        <v>0</v>
      </c>
      <c r="F64" s="243">
        <f>IF(B64=1,(F59+F60)*C64*(1+$B$3), IF(B64=0,0,((B64*C64-0.5*C64)*(F59+F60))*(1+$B$3)))</f>
        <v>0</v>
      </c>
      <c r="G64" s="243">
        <f>IF(B64=1,(G59+G60)*C64*(1+$B$3)^2, IF(B64=0,0,((B64*C64-0.5*C64)*(G59+G60))*(1+$B$3)^2))</f>
        <v>0</v>
      </c>
      <c r="H64" s="243">
        <f>IF(B64=1,(H59+H60)*C64*(1+$B$3)^3, IF(B64=0,0,((B64*C64-0.5*C64)*(H59+H60))*(1+$B$3)^3))</f>
        <v>0</v>
      </c>
      <c r="I64" s="244">
        <f>IF(B64=1,(I59+I60)*C64*(1+$B$3)^4, IF(B64=0,0,((B64*C64-0.5*C64)*(I59+I60))*(1+$B$3)^4))</f>
        <v>0</v>
      </c>
      <c r="K64" s="175"/>
      <c r="M64" s="245"/>
      <c r="N64" s="246"/>
      <c r="O64" s="246"/>
      <c r="P64" s="246"/>
      <c r="Q64" s="246"/>
      <c r="R64" s="246"/>
      <c r="V64" s="175"/>
      <c r="X64" s="245"/>
      <c r="Y64" s="246"/>
      <c r="Z64" s="246"/>
      <c r="AA64" s="246"/>
      <c r="AB64" s="246"/>
      <c r="AC64" s="246"/>
    </row>
    <row r="65" spans="1:30" ht="16.5" customHeight="1" x14ac:dyDescent="0.3">
      <c r="A65" s="241" t="s">
        <v>94</v>
      </c>
      <c r="B65" s="358"/>
      <c r="C65" s="359"/>
      <c r="D65" s="242" t="s">
        <v>99</v>
      </c>
      <c r="E65" s="243">
        <f>C65*(E59+E60)*B65</f>
        <v>0</v>
      </c>
      <c r="F65" s="243">
        <f>C65*(F59+F60)*B65*(1+$B$3)</f>
        <v>0</v>
      </c>
      <c r="G65" s="243">
        <f>C65*(G59+G60)*B65*(1+$B$3)^2</f>
        <v>0</v>
      </c>
      <c r="H65" s="243">
        <f>C65*(H59+H60)*B65*(1+$B$3)^3</f>
        <v>0</v>
      </c>
      <c r="I65" s="244">
        <f>C65*(I59+I60)*B65*(1+$B$3)^4</f>
        <v>0</v>
      </c>
      <c r="K65" s="175"/>
      <c r="M65" s="245"/>
      <c r="N65" s="246"/>
      <c r="O65" s="246"/>
      <c r="P65" s="246"/>
      <c r="Q65" s="246"/>
      <c r="R65" s="246"/>
      <c r="V65" s="175"/>
      <c r="X65" s="245"/>
      <c r="Y65" s="246"/>
      <c r="Z65" s="246"/>
      <c r="AA65" s="246"/>
      <c r="AB65" s="246"/>
      <c r="AC65" s="246"/>
    </row>
    <row r="66" spans="1:30" ht="16.5" customHeight="1" x14ac:dyDescent="0.3">
      <c r="A66" s="241" t="s">
        <v>96</v>
      </c>
      <c r="B66" s="185"/>
      <c r="C66" s="359"/>
      <c r="D66" s="359"/>
      <c r="E66" s="243">
        <f>C66*E59+D66*E60</f>
        <v>0</v>
      </c>
      <c r="F66" s="243">
        <f>(C66*F59+D66*F60)*(1+$B$3)</f>
        <v>0</v>
      </c>
      <c r="G66" s="243">
        <f>(C66*G59+D66*G60)*(1+$B$3)^2</f>
        <v>0</v>
      </c>
      <c r="H66" s="243">
        <f>(C66*H59+D66*H60)*(1+$B$3)^3</f>
        <v>0</v>
      </c>
      <c r="I66" s="243">
        <f>(C66*I59+D66*I60)*(1+$B$3)^4</f>
        <v>0</v>
      </c>
      <c r="J66" s="225"/>
      <c r="K66" s="175"/>
      <c r="M66" s="245"/>
      <c r="N66" s="246"/>
      <c r="O66" s="246"/>
      <c r="P66" s="246"/>
      <c r="Q66" s="246"/>
      <c r="R66" s="246"/>
      <c r="V66" s="175"/>
      <c r="X66" s="245"/>
      <c r="Y66" s="246"/>
      <c r="Z66" s="246"/>
      <c r="AA66" s="246"/>
      <c r="AB66" s="246"/>
      <c r="AC66" s="246"/>
      <c r="AD66" s="75"/>
    </row>
    <row r="67" spans="1:30" ht="16.5" customHeight="1" x14ac:dyDescent="0.3">
      <c r="A67" s="360" t="s">
        <v>240</v>
      </c>
      <c r="B67" s="383" t="s">
        <v>242</v>
      </c>
      <c r="C67" s="290"/>
      <c r="D67" s="290"/>
      <c r="E67" s="362"/>
      <c r="F67" s="362"/>
      <c r="G67" s="362"/>
      <c r="H67" s="362"/>
      <c r="I67" s="363"/>
      <c r="J67" s="225"/>
      <c r="K67" s="175"/>
      <c r="M67" s="245"/>
      <c r="N67" s="246"/>
      <c r="O67" s="246"/>
      <c r="P67" s="246"/>
      <c r="Q67" s="246"/>
      <c r="R67" s="246"/>
      <c r="V67" s="175"/>
      <c r="X67" s="245"/>
      <c r="Y67" s="246"/>
      <c r="Z67" s="246"/>
      <c r="AA67" s="246"/>
      <c r="AB67" s="246"/>
      <c r="AC67" s="246"/>
    </row>
    <row r="68" spans="1:30" ht="16.5" customHeight="1" thickBot="1" x14ac:dyDescent="0.35">
      <c r="A68" s="361" t="s">
        <v>171</v>
      </c>
      <c r="B68" s="384" t="s">
        <v>241</v>
      </c>
      <c r="C68" s="247"/>
      <c r="D68" s="247"/>
      <c r="E68" s="364"/>
      <c r="F68" s="364"/>
      <c r="G68" s="364"/>
      <c r="H68" s="364"/>
      <c r="I68" s="365"/>
      <c r="J68" s="225"/>
      <c r="K68" s="175"/>
      <c r="M68" s="149"/>
      <c r="N68" s="246"/>
      <c r="O68" s="246"/>
      <c r="P68" s="246"/>
      <c r="Q68" s="246"/>
      <c r="R68" s="246"/>
      <c r="V68" s="175"/>
      <c r="X68" s="149"/>
      <c r="Y68" s="246"/>
      <c r="Z68" s="246"/>
      <c r="AA68" s="246"/>
      <c r="AB68" s="246"/>
      <c r="AC68" s="246"/>
    </row>
    <row r="69" spans="1:30" ht="15" thickTop="1" thickBot="1" x14ac:dyDescent="0.35">
      <c r="A69" s="248" t="s">
        <v>95</v>
      </c>
      <c r="B69" s="249"/>
      <c r="C69" s="250"/>
      <c r="D69" s="250"/>
      <c r="E69" s="251">
        <f>SUM(E62:E68)</f>
        <v>0</v>
      </c>
      <c r="F69" s="251">
        <f>SUM(F62:F68)</f>
        <v>0</v>
      </c>
      <c r="G69" s="251">
        <f>SUM(G62:G68)</f>
        <v>0</v>
      </c>
      <c r="H69" s="251">
        <f>SUM(H62:H68)</f>
        <v>0</v>
      </c>
      <c r="I69" s="252">
        <f>SUM(I62:I68)</f>
        <v>0</v>
      </c>
    </row>
    <row r="70" spans="1:30" hidden="1" x14ac:dyDescent="0.3">
      <c r="A70" s="253"/>
      <c r="B70" s="253"/>
      <c r="C70" s="253"/>
      <c r="D70" s="253" t="s">
        <v>168</v>
      </c>
      <c r="E70" s="253">
        <f>IF(B57="Domestic",E69,0)</f>
        <v>0</v>
      </c>
      <c r="F70" s="253">
        <f>IF(B57="Domestic",F69,0)</f>
        <v>0</v>
      </c>
      <c r="G70" s="253">
        <f>IF(B57="Domestic",G69,0)</f>
        <v>0</v>
      </c>
      <c r="H70" s="253">
        <f>IF(B57="Domestic",H69,0)</f>
        <v>0</v>
      </c>
      <c r="I70" s="253">
        <f>IF(B57="Domestic",I69,0)</f>
        <v>0</v>
      </c>
      <c r="J70" s="225"/>
    </row>
    <row r="71" spans="1:30" hidden="1" x14ac:dyDescent="0.3">
      <c r="A71" s="253"/>
      <c r="B71" s="253"/>
      <c r="C71" s="253"/>
      <c r="D71" s="253" t="s">
        <v>169</v>
      </c>
      <c r="E71" s="253">
        <f>IF(B57="Domestic",0,E69)</f>
        <v>0</v>
      </c>
      <c r="F71" s="253">
        <f>IF(B57="Domestic",0,F69)</f>
        <v>0</v>
      </c>
      <c r="G71" s="253">
        <f>IF(B57="Domestic",0,G69)</f>
        <v>0</v>
      </c>
      <c r="H71" s="253">
        <f>IF(B57="Domestic",0,H69)</f>
        <v>0</v>
      </c>
      <c r="I71" s="254">
        <f>IF(B57="Domestic",0,I69)</f>
        <v>0</v>
      </c>
    </row>
    <row r="72" spans="1:30" ht="14.5" thickBot="1" x14ac:dyDescent="0.35">
      <c r="A72" s="253"/>
      <c r="B72" s="253"/>
      <c r="C72" s="253"/>
      <c r="D72" s="253"/>
      <c r="E72" s="253"/>
      <c r="F72" s="253"/>
      <c r="G72" s="253"/>
      <c r="H72" s="253"/>
      <c r="I72" s="253"/>
      <c r="J72" s="225"/>
    </row>
    <row r="73" spans="1:30" ht="16.5" customHeight="1" x14ac:dyDescent="0.3">
      <c r="A73" s="226" t="s">
        <v>157</v>
      </c>
      <c r="B73" s="351" t="s">
        <v>84</v>
      </c>
      <c r="C73" s="395"/>
      <c r="D73" s="395"/>
      <c r="E73" s="227"/>
      <c r="F73" s="227"/>
      <c r="G73" s="227"/>
      <c r="H73" s="227"/>
      <c r="I73" s="228"/>
      <c r="K73" s="201"/>
      <c r="V73" s="201"/>
    </row>
    <row r="74" spans="1:30" ht="16.5" customHeight="1" x14ac:dyDescent="0.3">
      <c r="A74" s="229" t="s">
        <v>151</v>
      </c>
      <c r="B74" s="352" t="s">
        <v>152</v>
      </c>
      <c r="C74" s="75"/>
      <c r="D74" s="75"/>
      <c r="E74" s="75"/>
      <c r="F74" s="75"/>
      <c r="G74" s="75"/>
      <c r="H74" s="75"/>
      <c r="I74" s="230"/>
      <c r="K74" s="201"/>
      <c r="V74" s="201"/>
    </row>
    <row r="75" spans="1:30" ht="16.5" customHeight="1" thickBot="1" x14ac:dyDescent="0.35">
      <c r="A75" s="231" t="s">
        <v>85</v>
      </c>
      <c r="B75" s="353" t="s">
        <v>86</v>
      </c>
      <c r="C75" s="232"/>
      <c r="D75" s="232"/>
      <c r="E75" s="584" t="s">
        <v>142</v>
      </c>
      <c r="F75" s="584"/>
      <c r="G75" s="584"/>
      <c r="H75" s="584"/>
      <c r="I75" s="585"/>
      <c r="K75" s="201"/>
      <c r="V75" s="201"/>
    </row>
    <row r="76" spans="1:30" ht="16.5" customHeight="1" x14ac:dyDescent="0.3">
      <c r="A76" s="233"/>
      <c r="B76" s="234"/>
      <c r="C76" s="580" t="s">
        <v>182</v>
      </c>
      <c r="D76" s="581"/>
      <c r="E76" s="354">
        <v>0</v>
      </c>
      <c r="F76" s="354">
        <v>0</v>
      </c>
      <c r="G76" s="354">
        <v>0</v>
      </c>
      <c r="H76" s="354">
        <v>0</v>
      </c>
      <c r="I76" s="355">
        <v>0</v>
      </c>
      <c r="K76" s="175"/>
      <c r="N76" s="149"/>
      <c r="O76" s="149"/>
      <c r="P76" s="149"/>
      <c r="Q76" s="149"/>
      <c r="R76" s="149"/>
      <c r="V76" s="175"/>
      <c r="Y76" s="149"/>
      <c r="Z76" s="149"/>
      <c r="AA76" s="149"/>
      <c r="AB76" s="149"/>
      <c r="AC76" s="149"/>
    </row>
    <row r="77" spans="1:30" ht="16.5" customHeight="1" x14ac:dyDescent="0.3">
      <c r="A77" s="235"/>
      <c r="B77" s="236"/>
      <c r="C77" s="582" t="s">
        <v>101</v>
      </c>
      <c r="D77" s="583"/>
      <c r="E77" s="356">
        <v>0</v>
      </c>
      <c r="F77" s="356">
        <v>0</v>
      </c>
      <c r="G77" s="356">
        <v>0</v>
      </c>
      <c r="H77" s="356">
        <v>0</v>
      </c>
      <c r="I77" s="357">
        <v>0</v>
      </c>
      <c r="L77" s="175"/>
      <c r="M77" s="240"/>
      <c r="N77" s="240"/>
      <c r="O77" s="240"/>
      <c r="P77" s="240"/>
      <c r="Q77" s="240"/>
      <c r="R77" s="240"/>
      <c r="W77" s="175"/>
      <c r="X77" s="240"/>
      <c r="Y77" s="240"/>
      <c r="Z77" s="240"/>
      <c r="AA77" s="240"/>
      <c r="AB77" s="240"/>
      <c r="AC77" s="240"/>
    </row>
    <row r="78" spans="1:30" ht="33.65" customHeight="1" x14ac:dyDescent="0.3">
      <c r="A78" s="96"/>
      <c r="B78" s="237" t="s">
        <v>239</v>
      </c>
      <c r="C78" s="237" t="s">
        <v>225</v>
      </c>
      <c r="D78" s="237" t="s">
        <v>100</v>
      </c>
      <c r="E78" s="238" t="s">
        <v>88</v>
      </c>
      <c r="F78" s="238" t="s">
        <v>89</v>
      </c>
      <c r="G78" s="238" t="s">
        <v>90</v>
      </c>
      <c r="H78" s="238" t="s">
        <v>91</v>
      </c>
      <c r="I78" s="239" t="s">
        <v>92</v>
      </c>
      <c r="K78" s="175"/>
      <c r="M78" s="245"/>
      <c r="N78" s="246"/>
      <c r="O78" s="246"/>
      <c r="P78" s="246"/>
      <c r="Q78" s="246"/>
      <c r="R78" s="246"/>
      <c r="V78" s="175"/>
      <c r="X78" s="245"/>
      <c r="Y78" s="246"/>
      <c r="Z78" s="246"/>
      <c r="AA78" s="246"/>
      <c r="AB78" s="246"/>
      <c r="AC78" s="246"/>
    </row>
    <row r="79" spans="1:30" ht="16.5" customHeight="1" x14ac:dyDescent="0.3">
      <c r="A79" s="241" t="s">
        <v>93</v>
      </c>
      <c r="B79" s="185"/>
      <c r="C79" s="359"/>
      <c r="D79" s="242" t="s">
        <v>99</v>
      </c>
      <c r="E79" s="243">
        <f>C79*(E76+E77)</f>
        <v>0</v>
      </c>
      <c r="F79" s="243">
        <f>C79*(F76+F77)*(1+$B$3)</f>
        <v>0</v>
      </c>
      <c r="G79" s="243">
        <f>C79*(G76+G77)*(1+$B$3)^2</f>
        <v>0</v>
      </c>
      <c r="H79" s="243">
        <f>C79*(H76+H77)*(1+$B$3)^3</f>
        <v>0</v>
      </c>
      <c r="I79" s="244">
        <f>C79*(I76+I77)*(1+$B$3)^4</f>
        <v>0</v>
      </c>
      <c r="K79" s="175"/>
      <c r="L79" s="149"/>
      <c r="M79" s="245"/>
      <c r="N79" s="246"/>
      <c r="O79" s="246"/>
      <c r="P79" s="246"/>
      <c r="Q79" s="246"/>
      <c r="R79" s="246"/>
      <c r="V79" s="175"/>
      <c r="W79" s="149"/>
      <c r="X79" s="245"/>
      <c r="Y79" s="246"/>
      <c r="Z79" s="246"/>
      <c r="AA79" s="246"/>
      <c r="AB79" s="246"/>
      <c r="AC79" s="246"/>
    </row>
    <row r="80" spans="1:30" ht="16.5" customHeight="1" x14ac:dyDescent="0.3">
      <c r="A80" s="241" t="s">
        <v>97</v>
      </c>
      <c r="B80" s="358"/>
      <c r="C80" s="359"/>
      <c r="D80" s="242" t="s">
        <v>99</v>
      </c>
      <c r="E80" s="243">
        <f>((B80*C80)*(E76+E77))</f>
        <v>0</v>
      </c>
      <c r="F80" s="243">
        <f>((B80*C80)*(F76+F77)*(1+$B$3))</f>
        <v>0</v>
      </c>
      <c r="G80" s="243">
        <f>((B80*C80)*(G76+G77))*(1+$B$3)^2</f>
        <v>0</v>
      </c>
      <c r="H80" s="243">
        <f>((B80*C80)*(H76+H77))*(1+$B$3)^3</f>
        <v>0</v>
      </c>
      <c r="I80" s="244">
        <f>((B80*C80)*(I76+I77))*(1+$B$3)^4</f>
        <v>0</v>
      </c>
      <c r="K80" s="175"/>
      <c r="L80" s="149"/>
      <c r="M80" s="245"/>
      <c r="N80" s="246"/>
      <c r="O80" s="246"/>
      <c r="P80" s="246"/>
      <c r="Q80" s="246"/>
      <c r="R80" s="246"/>
      <c r="V80" s="175"/>
      <c r="W80" s="149"/>
      <c r="X80" s="245"/>
      <c r="Y80" s="246"/>
      <c r="Z80" s="246"/>
      <c r="AA80" s="246"/>
      <c r="AB80" s="246"/>
      <c r="AC80" s="246"/>
    </row>
    <row r="81" spans="1:30" ht="16.5" customHeight="1" x14ac:dyDescent="0.3">
      <c r="A81" s="241" t="s">
        <v>98</v>
      </c>
      <c r="B81" s="358"/>
      <c r="C81" s="359"/>
      <c r="D81" s="242" t="s">
        <v>99</v>
      </c>
      <c r="E81" s="243">
        <f>IF(B81=1,(E76+E77)*C81, IF(B81=0,0,((B81*C81-0.5*C81)*(E76+E77))))</f>
        <v>0</v>
      </c>
      <c r="F81" s="243">
        <f>IF(B81=1,(F76+F77)*C81*(1+$B$3), IF(B81=0,0,((B81*C81-0.5*C81)*(F76+F77))*(1+$B$3)))</f>
        <v>0</v>
      </c>
      <c r="G81" s="243">
        <f>IF(B81=1,(G76+G77)*C81*(1+$B$3)^2, IF(B81=0,0,((B81*C81-0.5*C81)*(G76+G77))*(1+$B$3)^2))</f>
        <v>0</v>
      </c>
      <c r="H81" s="243">
        <f>IF(B81=1,(H76+H77)*C81*(1+$B$3)^3, IF(B81=0,0,((B81*C81-0.5*C81)*(H76+H77))*(1+$B$3)^3))</f>
        <v>0</v>
      </c>
      <c r="I81" s="244">
        <f>IF(B81=1,(I76+I77)*C81*(1+$B$3)^4, IF(B81=0,0,((B81*C81-0.5*C81)*(I76+I77))*(1+$B$3)^4))</f>
        <v>0</v>
      </c>
      <c r="K81" s="175"/>
      <c r="M81" s="245"/>
      <c r="N81" s="246"/>
      <c r="O81" s="246"/>
      <c r="P81" s="246"/>
      <c r="Q81" s="246"/>
      <c r="R81" s="246"/>
      <c r="V81" s="175"/>
      <c r="X81" s="245"/>
      <c r="Y81" s="246"/>
      <c r="Z81" s="246"/>
      <c r="AA81" s="246"/>
      <c r="AB81" s="246"/>
      <c r="AC81" s="246"/>
    </row>
    <row r="82" spans="1:30" ht="16.5" customHeight="1" x14ac:dyDescent="0.3">
      <c r="A82" s="241" t="s">
        <v>94</v>
      </c>
      <c r="B82" s="358"/>
      <c r="C82" s="359"/>
      <c r="D82" s="242" t="s">
        <v>99</v>
      </c>
      <c r="E82" s="243">
        <f>C82*(E76+E77)*B82</f>
        <v>0</v>
      </c>
      <c r="F82" s="243">
        <f>C82*(F76+F77)*B82*(1+$B$3)</f>
        <v>0</v>
      </c>
      <c r="G82" s="243">
        <f>C82*(G76+G77)*B82*(1+$B$3)^2</f>
        <v>0</v>
      </c>
      <c r="H82" s="243">
        <f>C82*(H76+H77)*B82*(1+$B$3)^3</f>
        <v>0</v>
      </c>
      <c r="I82" s="244">
        <f>C82*(I76+I77)*B82*(1+$B$3)^4</f>
        <v>0</v>
      </c>
      <c r="K82" s="175"/>
      <c r="M82" s="245"/>
      <c r="N82" s="246"/>
      <c r="O82" s="246"/>
      <c r="P82" s="246"/>
      <c r="Q82" s="246"/>
      <c r="R82" s="246"/>
      <c r="V82" s="175"/>
      <c r="X82" s="245"/>
      <c r="Y82" s="246"/>
      <c r="Z82" s="246"/>
      <c r="AA82" s="246"/>
      <c r="AB82" s="246"/>
      <c r="AC82" s="246"/>
    </row>
    <row r="83" spans="1:30" ht="16.5" customHeight="1" x14ac:dyDescent="0.3">
      <c r="A83" s="241" t="s">
        <v>96</v>
      </c>
      <c r="B83" s="185"/>
      <c r="C83" s="359"/>
      <c r="D83" s="359"/>
      <c r="E83" s="243">
        <f>C83*E76+D83*E77</f>
        <v>0</v>
      </c>
      <c r="F83" s="243">
        <f>(C83*F76+D83*F77)*(1+$B$3)</f>
        <v>0</v>
      </c>
      <c r="G83" s="243">
        <f>(C83*G76+D83*G77)*(1+$B$3)^2</f>
        <v>0</v>
      </c>
      <c r="H83" s="243">
        <f>(C83*H76+D83*H77)*(1+$B$3)^3</f>
        <v>0</v>
      </c>
      <c r="I83" s="243">
        <f>(C83*I76+D83*I77)*(1+$B$3)^4</f>
        <v>0</v>
      </c>
      <c r="J83" s="225"/>
      <c r="K83" s="175"/>
      <c r="M83" s="245"/>
      <c r="N83" s="246"/>
      <c r="O83" s="246"/>
      <c r="P83" s="246"/>
      <c r="Q83" s="246"/>
      <c r="R83" s="246"/>
      <c r="V83" s="175"/>
      <c r="X83" s="245"/>
      <c r="Y83" s="246"/>
      <c r="Z83" s="246"/>
      <c r="AA83" s="246"/>
      <c r="AB83" s="246"/>
      <c r="AC83" s="246"/>
      <c r="AD83" s="75"/>
    </row>
    <row r="84" spans="1:30" ht="16.5" customHeight="1" x14ac:dyDescent="0.3">
      <c r="A84" s="360" t="s">
        <v>240</v>
      </c>
      <c r="B84" s="383" t="s">
        <v>242</v>
      </c>
      <c r="C84" s="290"/>
      <c r="D84" s="290"/>
      <c r="E84" s="362"/>
      <c r="F84" s="362"/>
      <c r="G84" s="362"/>
      <c r="H84" s="362"/>
      <c r="I84" s="363"/>
      <c r="J84" s="225"/>
      <c r="K84" s="175"/>
      <c r="M84" s="245"/>
      <c r="N84" s="246"/>
      <c r="O84" s="246"/>
      <c r="P84" s="246"/>
      <c r="Q84" s="246"/>
      <c r="R84" s="246"/>
      <c r="V84" s="175"/>
      <c r="X84" s="245"/>
      <c r="Y84" s="246"/>
      <c r="Z84" s="246"/>
      <c r="AA84" s="246"/>
      <c r="AB84" s="246"/>
      <c r="AC84" s="246"/>
    </row>
    <row r="85" spans="1:30" ht="16.5" customHeight="1" thickBot="1" x14ac:dyDescent="0.35">
      <c r="A85" s="361" t="s">
        <v>171</v>
      </c>
      <c r="B85" s="384" t="s">
        <v>241</v>
      </c>
      <c r="C85" s="247"/>
      <c r="D85" s="247"/>
      <c r="E85" s="364"/>
      <c r="F85" s="364"/>
      <c r="G85" s="364"/>
      <c r="H85" s="364"/>
      <c r="I85" s="364"/>
      <c r="J85" s="225"/>
      <c r="K85" s="175"/>
      <c r="M85" s="149"/>
      <c r="N85" s="246"/>
      <c r="O85" s="246"/>
      <c r="P85" s="246"/>
      <c r="Q85" s="246"/>
      <c r="R85" s="246"/>
      <c r="V85" s="175"/>
      <c r="X85" s="149"/>
      <c r="Y85" s="246"/>
      <c r="Z85" s="246"/>
      <c r="AA85" s="246"/>
      <c r="AB85" s="246"/>
      <c r="AC85" s="246"/>
      <c r="AD85" s="75"/>
    </row>
    <row r="86" spans="1:30" ht="15" thickTop="1" thickBot="1" x14ac:dyDescent="0.35">
      <c r="A86" s="248" t="s">
        <v>95</v>
      </c>
      <c r="B86" s="249"/>
      <c r="C86" s="250"/>
      <c r="D86" s="250"/>
      <c r="E86" s="251">
        <f>SUM(E79:E85)</f>
        <v>0</v>
      </c>
      <c r="F86" s="251">
        <f>SUM(F79:F85)</f>
        <v>0</v>
      </c>
      <c r="G86" s="251">
        <f>SUM(G79:G85)</f>
        <v>0</v>
      </c>
      <c r="H86" s="251">
        <f>SUM(H79:H85)</f>
        <v>0</v>
      </c>
      <c r="I86" s="252">
        <f>SUM(I79:I85)</f>
        <v>0</v>
      </c>
      <c r="K86" s="175"/>
      <c r="M86" s="149"/>
      <c r="N86" s="246"/>
      <c r="O86" s="246"/>
      <c r="P86" s="246"/>
      <c r="Q86" s="246"/>
      <c r="R86" s="246"/>
    </row>
    <row r="87" spans="1:30" hidden="1" x14ac:dyDescent="0.3">
      <c r="A87" s="253"/>
      <c r="B87" s="253"/>
      <c r="C87" s="253"/>
      <c r="D87" s="253" t="s">
        <v>168</v>
      </c>
      <c r="E87" s="253">
        <f>IF(B74="Domestic",E86,0)</f>
        <v>0</v>
      </c>
      <c r="F87" s="253">
        <f>IF(B74="Domestic",F86,0)</f>
        <v>0</v>
      </c>
      <c r="G87" s="253">
        <f>IF(B74="Domestic",G86,0)</f>
        <v>0</v>
      </c>
      <c r="H87" s="253">
        <f>IF(B74="Domestic",H86,0)</f>
        <v>0</v>
      </c>
      <c r="I87" s="253">
        <f>IF(B74="Domestic",I86,0)</f>
        <v>0</v>
      </c>
      <c r="J87" s="225"/>
      <c r="K87" s="175"/>
      <c r="M87" s="149"/>
      <c r="N87" s="246"/>
      <c r="O87" s="246"/>
      <c r="P87" s="246"/>
      <c r="Q87" s="246"/>
      <c r="R87" s="246"/>
    </row>
    <row r="88" spans="1:30" hidden="1" x14ac:dyDescent="0.3">
      <c r="A88" s="253"/>
      <c r="B88" s="253"/>
      <c r="C88" s="253"/>
      <c r="D88" s="253" t="s">
        <v>169</v>
      </c>
      <c r="E88" s="253">
        <f>IF(B74="Domestic",0,E86)</f>
        <v>0</v>
      </c>
      <c r="F88" s="253">
        <f>IF(B74="Domestic",0,F86)</f>
        <v>0</v>
      </c>
      <c r="G88" s="253">
        <f>IF(B74="Domestic",0,G86)</f>
        <v>0</v>
      </c>
      <c r="H88" s="253">
        <f>IF(B74="Domestic",0,H86)</f>
        <v>0</v>
      </c>
      <c r="I88" s="253">
        <f>IF(B74="Domestic",0,I86)</f>
        <v>0</v>
      </c>
      <c r="J88" s="225"/>
      <c r="K88" s="175"/>
      <c r="M88" s="149"/>
      <c r="N88" s="246"/>
      <c r="O88" s="246"/>
      <c r="P88" s="246"/>
      <c r="Q88" s="246"/>
      <c r="R88" s="246"/>
    </row>
    <row r="89" spans="1:30" ht="14.5" thickBot="1" x14ac:dyDescent="0.35">
      <c r="A89" s="253"/>
      <c r="B89" s="253"/>
      <c r="C89" s="253"/>
      <c r="D89" s="253"/>
      <c r="E89" s="253"/>
      <c r="F89" s="253"/>
      <c r="G89" s="253"/>
      <c r="H89" s="253"/>
      <c r="I89" s="253"/>
      <c r="J89" s="225"/>
    </row>
    <row r="90" spans="1:30" ht="16.5" customHeight="1" x14ac:dyDescent="0.3">
      <c r="A90" s="226" t="s">
        <v>160</v>
      </c>
      <c r="B90" s="351" t="s">
        <v>84</v>
      </c>
      <c r="C90" s="395"/>
      <c r="D90" s="395"/>
      <c r="E90" s="227"/>
      <c r="F90" s="227"/>
      <c r="G90" s="227"/>
      <c r="H90" s="227"/>
      <c r="I90" s="228"/>
      <c r="K90" s="201"/>
      <c r="V90" s="201"/>
    </row>
    <row r="91" spans="1:30" ht="16.5" customHeight="1" x14ac:dyDescent="0.3">
      <c r="A91" s="229" t="s">
        <v>151</v>
      </c>
      <c r="B91" s="352" t="s">
        <v>152</v>
      </c>
      <c r="C91" s="75"/>
      <c r="D91" s="75"/>
      <c r="E91" s="75"/>
      <c r="F91" s="75"/>
      <c r="G91" s="75"/>
      <c r="H91" s="75"/>
      <c r="I91" s="230"/>
      <c r="K91" s="201"/>
      <c r="V91" s="201"/>
    </row>
    <row r="92" spans="1:30" ht="16.5" customHeight="1" thickBot="1" x14ac:dyDescent="0.35">
      <c r="A92" s="231" t="s">
        <v>85</v>
      </c>
      <c r="B92" s="353" t="s">
        <v>86</v>
      </c>
      <c r="C92" s="232"/>
      <c r="D92" s="232"/>
      <c r="E92" s="584" t="s">
        <v>142</v>
      </c>
      <c r="F92" s="584"/>
      <c r="G92" s="584"/>
      <c r="H92" s="584"/>
      <c r="I92" s="585"/>
      <c r="K92" s="201"/>
      <c r="V92" s="201"/>
    </row>
    <row r="93" spans="1:30" ht="16.5" customHeight="1" x14ac:dyDescent="0.3">
      <c r="A93" s="233"/>
      <c r="B93" s="234"/>
      <c r="C93" s="580" t="s">
        <v>182</v>
      </c>
      <c r="D93" s="581"/>
      <c r="E93" s="354">
        <v>0</v>
      </c>
      <c r="F93" s="354">
        <v>0</v>
      </c>
      <c r="G93" s="354">
        <v>0</v>
      </c>
      <c r="H93" s="354">
        <v>0</v>
      </c>
      <c r="I93" s="355">
        <v>0</v>
      </c>
      <c r="K93" s="175"/>
      <c r="N93" s="149"/>
      <c r="O93" s="149"/>
      <c r="P93" s="149"/>
      <c r="Q93" s="149"/>
      <c r="R93" s="149"/>
      <c r="V93" s="175"/>
      <c r="Y93" s="149"/>
      <c r="Z93" s="149"/>
      <c r="AA93" s="149"/>
      <c r="AB93" s="149"/>
      <c r="AC93" s="149"/>
    </row>
    <row r="94" spans="1:30" ht="16.5" customHeight="1" x14ac:dyDescent="0.3">
      <c r="A94" s="235"/>
      <c r="B94" s="236"/>
      <c r="C94" s="582" t="s">
        <v>101</v>
      </c>
      <c r="D94" s="583"/>
      <c r="E94" s="356">
        <v>0</v>
      </c>
      <c r="F94" s="356">
        <v>0</v>
      </c>
      <c r="G94" s="356">
        <v>0</v>
      </c>
      <c r="H94" s="356">
        <v>0</v>
      </c>
      <c r="I94" s="357">
        <v>0</v>
      </c>
      <c r="L94" s="175"/>
      <c r="M94" s="240"/>
      <c r="N94" s="240"/>
      <c r="O94" s="240"/>
      <c r="P94" s="240"/>
      <c r="Q94" s="240"/>
      <c r="R94" s="240"/>
      <c r="W94" s="175"/>
      <c r="X94" s="240"/>
      <c r="Y94" s="240"/>
      <c r="Z94" s="240"/>
      <c r="AA94" s="240"/>
      <c r="AB94" s="240"/>
      <c r="AC94" s="240"/>
    </row>
    <row r="95" spans="1:30" ht="34" customHeight="1" x14ac:dyDescent="0.3">
      <c r="A95" s="96"/>
      <c r="B95" s="237" t="s">
        <v>239</v>
      </c>
      <c r="C95" s="237" t="s">
        <v>225</v>
      </c>
      <c r="D95" s="237" t="s">
        <v>100</v>
      </c>
      <c r="E95" s="238" t="s">
        <v>88</v>
      </c>
      <c r="F95" s="238" t="s">
        <v>89</v>
      </c>
      <c r="G95" s="238" t="s">
        <v>90</v>
      </c>
      <c r="H95" s="238" t="s">
        <v>91</v>
      </c>
      <c r="I95" s="239" t="s">
        <v>92</v>
      </c>
      <c r="K95" s="175"/>
      <c r="M95" s="245"/>
      <c r="N95" s="246"/>
      <c r="O95" s="246"/>
      <c r="P95" s="246"/>
      <c r="Q95" s="246"/>
      <c r="R95" s="246"/>
      <c r="V95" s="175"/>
      <c r="X95" s="245"/>
      <c r="Y95" s="246"/>
      <c r="Z95" s="246"/>
      <c r="AA95" s="246"/>
      <c r="AB95" s="246"/>
      <c r="AC95" s="246"/>
    </row>
    <row r="96" spans="1:30" ht="16.5" customHeight="1" x14ac:dyDescent="0.3">
      <c r="A96" s="241" t="s">
        <v>93</v>
      </c>
      <c r="B96" s="185"/>
      <c r="C96" s="359"/>
      <c r="D96" s="242" t="s">
        <v>99</v>
      </c>
      <c r="E96" s="243">
        <f>C96*(E93+E94)</f>
        <v>0</v>
      </c>
      <c r="F96" s="243">
        <f>C96*(F93+F94)*(1+$B$3)</f>
        <v>0</v>
      </c>
      <c r="G96" s="243">
        <f>C96*(G93+G94)*(1+$B$3)^2</f>
        <v>0</v>
      </c>
      <c r="H96" s="243">
        <f>C96*(H93+H94)*(1+$B$3)^3</f>
        <v>0</v>
      </c>
      <c r="I96" s="244">
        <f>C96*(I93+I94)*(1+$B$3)^4</f>
        <v>0</v>
      </c>
      <c r="K96" s="175"/>
      <c r="L96" s="149"/>
      <c r="M96" s="245"/>
      <c r="N96" s="246"/>
      <c r="O96" s="246"/>
      <c r="P96" s="246"/>
      <c r="Q96" s="246"/>
      <c r="R96" s="246"/>
      <c r="V96" s="175"/>
      <c r="W96" s="149"/>
      <c r="X96" s="245"/>
      <c r="Y96" s="246"/>
      <c r="Z96" s="246"/>
      <c r="AA96" s="246"/>
      <c r="AB96" s="246"/>
      <c r="AC96" s="246"/>
    </row>
    <row r="97" spans="1:30" ht="16.5" customHeight="1" x14ac:dyDescent="0.3">
      <c r="A97" s="241" t="s">
        <v>97</v>
      </c>
      <c r="B97" s="358"/>
      <c r="C97" s="359"/>
      <c r="D97" s="242" t="s">
        <v>99</v>
      </c>
      <c r="E97" s="243">
        <f>((B97*C97)*(E93+E94))</f>
        <v>0</v>
      </c>
      <c r="F97" s="243">
        <f>((B97*C97)*(F93+F94)*(1+$B$3))</f>
        <v>0</v>
      </c>
      <c r="G97" s="243">
        <f>((B97*C97)*(G93+G94))*(1+$B$3)^2</f>
        <v>0</v>
      </c>
      <c r="H97" s="243">
        <f>((B97*C97)*(H93+H94))*(1+$B$3)^3</f>
        <v>0</v>
      </c>
      <c r="I97" s="244">
        <f>((B97*C97)*(I93+I94))*(1+$B$3)^4</f>
        <v>0</v>
      </c>
      <c r="K97" s="175"/>
      <c r="L97" s="149"/>
      <c r="M97" s="245"/>
      <c r="N97" s="246"/>
      <c r="O97" s="246"/>
      <c r="P97" s="246"/>
      <c r="Q97" s="246"/>
      <c r="R97" s="246"/>
      <c r="V97" s="175"/>
      <c r="W97" s="149"/>
      <c r="X97" s="245"/>
      <c r="Y97" s="246"/>
      <c r="Z97" s="246"/>
      <c r="AA97" s="246"/>
      <c r="AB97" s="246"/>
      <c r="AC97" s="246"/>
    </row>
    <row r="98" spans="1:30" ht="16.5" customHeight="1" x14ac:dyDescent="0.3">
      <c r="A98" s="241" t="s">
        <v>98</v>
      </c>
      <c r="B98" s="358"/>
      <c r="C98" s="359"/>
      <c r="D98" s="242" t="s">
        <v>99</v>
      </c>
      <c r="E98" s="243">
        <f>IF(B98=1,(E93+E94)*C98, IF(B98=0,0,((B98*C98-0.5*C98)*(E93+E94))))</f>
        <v>0</v>
      </c>
      <c r="F98" s="243">
        <f>IF(B98=1,(F93+F94)*C98*(1+$B$3), IF(B98=0,0,((B98*C98-0.5*C98)*(F93+F94))*(1+$B$3)))</f>
        <v>0</v>
      </c>
      <c r="G98" s="243">
        <f>IF(B98=1,(G93+G94)*C98*(1+$B$3)^2, IF(B98=0,0,((B98*C98-0.5*C98)*(G93+G94))*(1+$B$3)^2))</f>
        <v>0</v>
      </c>
      <c r="H98" s="243">
        <f>IF(B98=1,(H93+H94)*C98*(1+$B$3)^3, IF(B98=0,0,((B98*C98-0.5*C98)*(H93+H94))*(1+$B$3)^3))</f>
        <v>0</v>
      </c>
      <c r="I98" s="244">
        <f>IF(B98=1,(I93+I94)*C98*(1+$B$3)^4, IF(B98=0,0,((B98*C98-0.5*C98)*(I93+I94))*(1+$B$3)^4))</f>
        <v>0</v>
      </c>
      <c r="K98" s="175"/>
      <c r="M98" s="245"/>
      <c r="N98" s="246"/>
      <c r="O98" s="246"/>
      <c r="P98" s="246"/>
      <c r="Q98" s="246"/>
      <c r="R98" s="246"/>
      <c r="V98" s="175"/>
      <c r="X98" s="245"/>
      <c r="Y98" s="246"/>
      <c r="Z98" s="246"/>
      <c r="AA98" s="246"/>
      <c r="AB98" s="246"/>
      <c r="AC98" s="246"/>
    </row>
    <row r="99" spans="1:30" ht="16.5" customHeight="1" x14ac:dyDescent="0.3">
      <c r="A99" s="241" t="s">
        <v>94</v>
      </c>
      <c r="B99" s="358"/>
      <c r="C99" s="359"/>
      <c r="D99" s="242" t="s">
        <v>99</v>
      </c>
      <c r="E99" s="243">
        <f>C99*(E93+E94)*B99</f>
        <v>0</v>
      </c>
      <c r="F99" s="243">
        <f>C99*(F93+F94)*B99*(1+$B$3)</f>
        <v>0</v>
      </c>
      <c r="G99" s="243">
        <f>C99*(G93+G94)*B99*(1+$B$3)^2</f>
        <v>0</v>
      </c>
      <c r="H99" s="243">
        <f>C99*(H93+H94)*B99*(1+$B$3)^3</f>
        <v>0</v>
      </c>
      <c r="I99" s="244">
        <f>C99*(I93+I94)*B99*(1+$B$3)^4</f>
        <v>0</v>
      </c>
      <c r="K99" s="175"/>
      <c r="M99" s="245"/>
      <c r="N99" s="246"/>
      <c r="O99" s="246"/>
      <c r="P99" s="246"/>
      <c r="Q99" s="246"/>
      <c r="R99" s="246"/>
      <c r="V99" s="175"/>
      <c r="X99" s="245"/>
      <c r="Y99" s="246"/>
      <c r="Z99" s="246"/>
      <c r="AA99" s="246"/>
      <c r="AB99" s="246"/>
      <c r="AC99" s="246"/>
    </row>
    <row r="100" spans="1:30" ht="16.5" customHeight="1" x14ac:dyDescent="0.3">
      <c r="A100" s="241" t="s">
        <v>96</v>
      </c>
      <c r="B100" s="185"/>
      <c r="C100" s="359"/>
      <c r="D100" s="359"/>
      <c r="E100" s="243">
        <f>C100*E93+D100*E94</f>
        <v>0</v>
      </c>
      <c r="F100" s="243">
        <f>(C100*F93+D100*F94)*(1+$B$3)</f>
        <v>0</v>
      </c>
      <c r="G100" s="243">
        <f>(C100*G93+D100*G94)*(1+$B$3)^2</f>
        <v>0</v>
      </c>
      <c r="H100" s="243">
        <f>(C100*H93+D100*H94)*(1+$B$3)^3</f>
        <v>0</v>
      </c>
      <c r="I100" s="256">
        <f>(C100*I93+D100*I94)*(1+$B$3)^4</f>
        <v>0</v>
      </c>
      <c r="J100" s="225"/>
      <c r="K100" s="175"/>
      <c r="M100" s="245"/>
      <c r="N100" s="246"/>
      <c r="O100" s="246"/>
      <c r="P100" s="246"/>
      <c r="Q100" s="246"/>
      <c r="R100" s="246"/>
      <c r="V100" s="175"/>
      <c r="X100" s="245"/>
      <c r="Y100" s="246"/>
      <c r="Z100" s="246"/>
      <c r="AA100" s="246"/>
      <c r="AB100" s="246"/>
      <c r="AC100" s="246"/>
    </row>
    <row r="101" spans="1:30" ht="16.5" customHeight="1" x14ac:dyDescent="0.3">
      <c r="A101" s="360" t="s">
        <v>240</v>
      </c>
      <c r="B101" s="383" t="s">
        <v>242</v>
      </c>
      <c r="C101" s="290"/>
      <c r="D101" s="290"/>
      <c r="E101" s="362"/>
      <c r="F101" s="362"/>
      <c r="G101" s="362"/>
      <c r="H101" s="362"/>
      <c r="I101" s="363"/>
      <c r="J101" s="225"/>
      <c r="K101" s="175"/>
      <c r="M101" s="245"/>
      <c r="N101" s="246"/>
      <c r="O101" s="246"/>
      <c r="P101" s="246"/>
      <c r="Q101" s="246"/>
      <c r="R101" s="246"/>
      <c r="V101" s="175"/>
      <c r="X101" s="245"/>
      <c r="Y101" s="246"/>
      <c r="Z101" s="246"/>
      <c r="AA101" s="246"/>
      <c r="AB101" s="246"/>
      <c r="AC101" s="246"/>
    </row>
    <row r="102" spans="1:30" ht="16.5" customHeight="1" thickBot="1" x14ac:dyDescent="0.35">
      <c r="A102" s="361" t="s">
        <v>171</v>
      </c>
      <c r="B102" s="384" t="s">
        <v>241</v>
      </c>
      <c r="C102" s="247"/>
      <c r="D102" s="247"/>
      <c r="E102" s="364"/>
      <c r="F102" s="364"/>
      <c r="G102" s="364"/>
      <c r="H102" s="364"/>
      <c r="I102" s="364"/>
      <c r="J102" s="225"/>
      <c r="K102" s="175"/>
      <c r="M102" s="149"/>
      <c r="N102" s="246"/>
      <c r="O102" s="246"/>
      <c r="P102" s="246"/>
      <c r="Q102" s="246"/>
      <c r="R102" s="246"/>
      <c r="V102" s="175"/>
      <c r="X102" s="149"/>
      <c r="Y102" s="246"/>
      <c r="Z102" s="246"/>
      <c r="AA102" s="246"/>
      <c r="AB102" s="246"/>
      <c r="AC102" s="246"/>
      <c r="AD102" s="75"/>
    </row>
    <row r="103" spans="1:30" ht="15" thickTop="1" thickBot="1" x14ac:dyDescent="0.35">
      <c r="A103" s="248" t="s">
        <v>95</v>
      </c>
      <c r="B103" s="249"/>
      <c r="C103" s="250"/>
      <c r="D103" s="250"/>
      <c r="E103" s="251">
        <f>SUM(E96:E102)</f>
        <v>0</v>
      </c>
      <c r="F103" s="251">
        <f>SUM(F96:F102)</f>
        <v>0</v>
      </c>
      <c r="G103" s="251">
        <f>SUM(G96:G102)</f>
        <v>0</v>
      </c>
      <c r="H103" s="251">
        <f>SUM(H96:H102)</f>
        <v>0</v>
      </c>
      <c r="I103" s="252">
        <f>SUM(I96:I102)</f>
        <v>0</v>
      </c>
    </row>
    <row r="104" spans="1:30" hidden="1" x14ac:dyDescent="0.3">
      <c r="A104" s="253"/>
      <c r="B104" s="253"/>
      <c r="C104" s="253"/>
      <c r="D104" s="253" t="s">
        <v>168</v>
      </c>
      <c r="E104" s="253">
        <f>IF(B91="Domestic",E103,0)</f>
        <v>0</v>
      </c>
      <c r="F104" s="253">
        <f>IF(B91="Domestic",F103,0)</f>
        <v>0</v>
      </c>
      <c r="G104" s="253">
        <f>IF(B91="Domestic",G103,0)</f>
        <v>0</v>
      </c>
      <c r="H104" s="253">
        <f>IF(B91="Domestic",H103,0)</f>
        <v>0</v>
      </c>
      <c r="I104" s="257">
        <f>IF(B91="Domestic",I103,0)</f>
        <v>0</v>
      </c>
    </row>
    <row r="105" spans="1:30" hidden="1" x14ac:dyDescent="0.3">
      <c r="A105" s="253"/>
      <c r="B105" s="253"/>
      <c r="C105" s="253"/>
      <c r="D105" s="253" t="s">
        <v>169</v>
      </c>
      <c r="E105" s="253">
        <f>IF(B91="Domestic",0,E103)</f>
        <v>0</v>
      </c>
      <c r="F105" s="253">
        <f>IF(B91="Domestic",0,F103)</f>
        <v>0</v>
      </c>
      <c r="G105" s="253">
        <f>IF(B91="Domestic",0,G103)</f>
        <v>0</v>
      </c>
      <c r="H105" s="253">
        <f>IF(B91="Domestic",0,H103)</f>
        <v>0</v>
      </c>
      <c r="I105" s="254">
        <f>IF(B91="Domestic",0,I103)</f>
        <v>0</v>
      </c>
    </row>
    <row r="106" spans="1:30" ht="14.5" thickBot="1" x14ac:dyDescent="0.35">
      <c r="A106" s="253"/>
      <c r="B106" s="253"/>
      <c r="C106" s="253"/>
      <c r="D106" s="253"/>
      <c r="E106" s="253"/>
      <c r="F106" s="253"/>
      <c r="G106" s="253"/>
      <c r="H106" s="253"/>
      <c r="I106" s="258"/>
    </row>
    <row r="107" spans="1:30" x14ac:dyDescent="0.3">
      <c r="A107" s="226" t="s">
        <v>159</v>
      </c>
      <c r="B107" s="351" t="s">
        <v>84</v>
      </c>
      <c r="C107" s="395"/>
      <c r="D107" s="395"/>
      <c r="E107" s="227"/>
      <c r="F107" s="227"/>
      <c r="G107" s="227"/>
      <c r="H107" s="227"/>
      <c r="I107" s="228"/>
    </row>
    <row r="108" spans="1:30" ht="16.5" customHeight="1" x14ac:dyDescent="0.3">
      <c r="A108" s="229" t="s">
        <v>151</v>
      </c>
      <c r="B108" s="352" t="s">
        <v>152</v>
      </c>
      <c r="C108" s="75"/>
      <c r="D108" s="75"/>
      <c r="E108" s="75"/>
      <c r="F108" s="75"/>
      <c r="G108" s="75"/>
      <c r="H108" s="75"/>
      <c r="I108" s="230"/>
      <c r="K108" s="201"/>
      <c r="V108" s="201"/>
    </row>
    <row r="109" spans="1:30" ht="14.5" thickBot="1" x14ac:dyDescent="0.35">
      <c r="A109" s="231" t="s">
        <v>85</v>
      </c>
      <c r="B109" s="353" t="s">
        <v>86</v>
      </c>
      <c r="C109" s="232"/>
      <c r="D109" s="232"/>
      <c r="E109" s="584" t="s">
        <v>142</v>
      </c>
      <c r="F109" s="584"/>
      <c r="G109" s="584"/>
      <c r="H109" s="584"/>
      <c r="I109" s="585"/>
    </row>
    <row r="110" spans="1:30" x14ac:dyDescent="0.3">
      <c r="A110" s="233"/>
      <c r="B110" s="234"/>
      <c r="C110" s="580" t="s">
        <v>182</v>
      </c>
      <c r="D110" s="581"/>
      <c r="E110" s="354">
        <v>0</v>
      </c>
      <c r="F110" s="354">
        <v>0</v>
      </c>
      <c r="G110" s="354">
        <v>0</v>
      </c>
      <c r="H110" s="354">
        <v>0</v>
      </c>
      <c r="I110" s="355">
        <v>0</v>
      </c>
    </row>
    <row r="111" spans="1:30" x14ac:dyDescent="0.3">
      <c r="A111" s="235"/>
      <c r="B111" s="236"/>
      <c r="C111" s="582" t="s">
        <v>101</v>
      </c>
      <c r="D111" s="583"/>
      <c r="E111" s="356">
        <v>0</v>
      </c>
      <c r="F111" s="356">
        <v>0</v>
      </c>
      <c r="G111" s="356">
        <v>0</v>
      </c>
      <c r="H111" s="356">
        <v>0</v>
      </c>
      <c r="I111" s="357">
        <v>0</v>
      </c>
    </row>
    <row r="112" spans="1:30" ht="34" customHeight="1" x14ac:dyDescent="0.3">
      <c r="A112" s="96"/>
      <c r="B112" s="237" t="s">
        <v>239</v>
      </c>
      <c r="C112" s="237" t="s">
        <v>225</v>
      </c>
      <c r="D112" s="237" t="s">
        <v>100</v>
      </c>
      <c r="E112" s="238" t="s">
        <v>88</v>
      </c>
      <c r="F112" s="238" t="s">
        <v>89</v>
      </c>
      <c r="G112" s="238" t="s">
        <v>90</v>
      </c>
      <c r="H112" s="238" t="s">
        <v>91</v>
      </c>
      <c r="I112" s="239" t="s">
        <v>92</v>
      </c>
    </row>
    <row r="113" spans="1:29" x14ac:dyDescent="0.3">
      <c r="A113" s="241" t="s">
        <v>93</v>
      </c>
      <c r="B113" s="185"/>
      <c r="C113" s="359"/>
      <c r="D113" s="242" t="s">
        <v>99</v>
      </c>
      <c r="E113" s="243">
        <f>C113*(E110+E111)</f>
        <v>0</v>
      </c>
      <c r="F113" s="243">
        <f>C113*(F110+F111)*(1+$B$3)</f>
        <v>0</v>
      </c>
      <c r="G113" s="243">
        <f>C113*(G110+G111)*(1+$B$3)^2</f>
        <v>0</v>
      </c>
      <c r="H113" s="243">
        <f>C113*(H110+H111)*(1+$B$3)^3</f>
        <v>0</v>
      </c>
      <c r="I113" s="244">
        <f>C113*(I110+I111)*(1+$B$3)^4</f>
        <v>0</v>
      </c>
    </row>
    <row r="114" spans="1:29" x14ac:dyDescent="0.3">
      <c r="A114" s="241" t="s">
        <v>97</v>
      </c>
      <c r="B114" s="358"/>
      <c r="C114" s="359"/>
      <c r="D114" s="242" t="s">
        <v>99</v>
      </c>
      <c r="E114" s="243">
        <f>((B114*C114)*(E110+E111))</f>
        <v>0</v>
      </c>
      <c r="F114" s="243">
        <f>((B114*C114)*(F110+F111)*(1+$B$3))</f>
        <v>0</v>
      </c>
      <c r="G114" s="243">
        <f>((B114*C114)*(G110+G111))*(1+$B$3)^2</f>
        <v>0</v>
      </c>
      <c r="H114" s="243">
        <f>((B114*C114)*(H110+H111))*(1+$B$3)^3</f>
        <v>0</v>
      </c>
      <c r="I114" s="244">
        <f>((B114*C114)*(I110+I111))*(1+$B$3)^4</f>
        <v>0</v>
      </c>
    </row>
    <row r="115" spans="1:29" x14ac:dyDescent="0.3">
      <c r="A115" s="241" t="s">
        <v>98</v>
      </c>
      <c r="B115" s="358"/>
      <c r="C115" s="359"/>
      <c r="D115" s="242" t="s">
        <v>99</v>
      </c>
      <c r="E115" s="243">
        <f>IF(B115=1,(E110+E111)*C115, IF(B115=0,0,((B115*C115-0.5*C115)*(E110+E111))))</f>
        <v>0</v>
      </c>
      <c r="F115" s="243">
        <f>IF(B115=1,(F110+F111)*C115*(1+$B$3), IF(B115=0,0,((B115*C115-0.5*C115)*(F110+F111))*(1+$B$3)))</f>
        <v>0</v>
      </c>
      <c r="G115" s="243">
        <f>IF(B115=1,(G110+G111)*C115*(1+$B$3)^2, IF(B115=0,0,((B115*C115-0.5*C115)*(G110+G111))*(1+$B$3)^2))</f>
        <v>0</v>
      </c>
      <c r="H115" s="243">
        <f>IF(B115=1,(H110+H111)*C115*(1+$B$3)^3, IF(B115=0,0,((B115*C115-0.5*C115)*(H110+H111))*(1+$B$3)^3))</f>
        <v>0</v>
      </c>
      <c r="I115" s="244">
        <f>IF(B115=1,(I110+I111)*C115*(1+$B$3)^4, IF(B115=0,0,((B115*C115-0.5*C115)*(I110+I111))*(1+$B$3)^4))</f>
        <v>0</v>
      </c>
    </row>
    <row r="116" spans="1:29" x14ac:dyDescent="0.3">
      <c r="A116" s="241" t="s">
        <v>94</v>
      </c>
      <c r="B116" s="358"/>
      <c r="C116" s="359"/>
      <c r="D116" s="242" t="s">
        <v>99</v>
      </c>
      <c r="E116" s="243">
        <f>C116*(E110+E111)*B116</f>
        <v>0</v>
      </c>
      <c r="F116" s="243">
        <f>C116*(F110+F111)*B116*(1+$B$3)</f>
        <v>0</v>
      </c>
      <c r="G116" s="243">
        <f>C116*(G110+G111)*B116*(1+$B$3)^2</f>
        <v>0</v>
      </c>
      <c r="H116" s="243">
        <f>C116*(H110+H111)*B116*(1+$B$3)^3</f>
        <v>0</v>
      </c>
      <c r="I116" s="244">
        <f>C116*(I110+I111)*B116*(1+$B$3)^4</f>
        <v>0</v>
      </c>
    </row>
    <row r="117" spans="1:29" x14ac:dyDescent="0.3">
      <c r="A117" s="241" t="s">
        <v>96</v>
      </c>
      <c r="B117" s="185"/>
      <c r="C117" s="359"/>
      <c r="D117" s="359"/>
      <c r="E117" s="243">
        <f>C117*E110+D117*E111</f>
        <v>0</v>
      </c>
      <c r="F117" s="243">
        <f>(C117*F110+D117*F111)*(1+$B$3)</f>
        <v>0</v>
      </c>
      <c r="G117" s="243">
        <f>(C117*G110+D117*G111)*(1+$B$3)^2</f>
        <v>0</v>
      </c>
      <c r="H117" s="243">
        <f>(C117*H110+D117*H111)*(1+$B$3)^3</f>
        <v>0</v>
      </c>
      <c r="I117" s="244">
        <f>(C117*I110+D117*I111)*(1+$B$3)^4</f>
        <v>0</v>
      </c>
    </row>
    <row r="118" spans="1:29" ht="16.5" customHeight="1" x14ac:dyDescent="0.3">
      <c r="A118" s="360" t="s">
        <v>240</v>
      </c>
      <c r="B118" s="383" t="s">
        <v>242</v>
      </c>
      <c r="C118" s="290"/>
      <c r="D118" s="290"/>
      <c r="E118" s="362"/>
      <c r="F118" s="362"/>
      <c r="G118" s="362"/>
      <c r="H118" s="362"/>
      <c r="I118" s="363"/>
      <c r="J118" s="225"/>
      <c r="M118" s="245"/>
      <c r="N118" s="246"/>
      <c r="O118" s="246"/>
      <c r="P118" s="246"/>
      <c r="Q118" s="246"/>
      <c r="R118" s="246"/>
      <c r="V118" s="175"/>
      <c r="X118" s="245"/>
      <c r="Y118" s="246"/>
      <c r="Z118" s="246"/>
      <c r="AA118" s="246"/>
      <c r="AB118" s="246"/>
      <c r="AC118" s="246"/>
    </row>
    <row r="119" spans="1:29" ht="14.5" customHeight="1" thickBot="1" x14ac:dyDescent="0.35">
      <c r="A119" s="361" t="s">
        <v>171</v>
      </c>
      <c r="B119" s="384" t="s">
        <v>241</v>
      </c>
      <c r="C119" s="247"/>
      <c r="D119" s="247"/>
      <c r="E119" s="364"/>
      <c r="F119" s="364"/>
      <c r="G119" s="364"/>
      <c r="H119" s="364"/>
      <c r="I119" s="364"/>
      <c r="J119" s="225"/>
    </row>
    <row r="120" spans="1:29" ht="15" thickTop="1" thickBot="1" x14ac:dyDescent="0.35">
      <c r="A120" s="248" t="s">
        <v>95</v>
      </c>
      <c r="B120" s="249"/>
      <c r="C120" s="250"/>
      <c r="D120" s="250"/>
      <c r="E120" s="251">
        <f>SUM(E113:E119)</f>
        <v>0</v>
      </c>
      <c r="F120" s="251">
        <f>SUM(F113:F119)</f>
        <v>0</v>
      </c>
      <c r="G120" s="251">
        <f>SUM(G113:G119)</f>
        <v>0</v>
      </c>
      <c r="H120" s="251">
        <f>SUM(H113:H119)</f>
        <v>0</v>
      </c>
      <c r="I120" s="252">
        <f>SUM(I113:I119)</f>
        <v>0</v>
      </c>
    </row>
    <row r="121" spans="1:29" hidden="1" x14ac:dyDescent="0.3">
      <c r="A121" s="253"/>
      <c r="B121" s="253"/>
      <c r="C121" s="253"/>
      <c r="D121" s="253" t="s">
        <v>168</v>
      </c>
      <c r="E121" s="253">
        <f>IF(B108="Domestic",E120,0)</f>
        <v>0</v>
      </c>
      <c r="F121" s="253">
        <f>IF(B108="Domestic",F120,0)</f>
        <v>0</v>
      </c>
      <c r="G121" s="253">
        <f>IF(B108="Domestic",G120,0)</f>
        <v>0</v>
      </c>
      <c r="H121" s="253">
        <f>IF(B108="Domestic",H120,0)</f>
        <v>0</v>
      </c>
      <c r="I121" s="253">
        <f>IF(B108="Domestic",I120,0)</f>
        <v>0</v>
      </c>
      <c r="J121" s="225"/>
    </row>
    <row r="122" spans="1:29" hidden="1" x14ac:dyDescent="0.3">
      <c r="A122" s="253"/>
      <c r="B122" s="253"/>
      <c r="C122" s="253"/>
      <c r="D122" s="253" t="s">
        <v>169</v>
      </c>
      <c r="E122" s="253">
        <f>IF(B108="Domestic",0,E120)</f>
        <v>0</v>
      </c>
      <c r="F122" s="253">
        <f>IF(B108="Domestic",0,F120)</f>
        <v>0</v>
      </c>
      <c r="G122" s="253">
        <f>IF(B108="Domestic",0,G120)</f>
        <v>0</v>
      </c>
      <c r="H122" s="253">
        <f>IF(B108="Domestic",0,H120)</f>
        <v>0</v>
      </c>
      <c r="I122" s="253">
        <f>IF(B108="Domestic",0,I120)</f>
        <v>0</v>
      </c>
      <c r="J122" s="225"/>
    </row>
    <row r="123" spans="1:29" ht="14.5" thickBot="1" x14ac:dyDescent="0.35">
      <c r="A123" s="253"/>
      <c r="B123" s="253"/>
      <c r="C123" s="253"/>
      <c r="D123" s="253"/>
      <c r="E123" s="253"/>
      <c r="F123" s="253"/>
      <c r="G123" s="253"/>
      <c r="H123" s="253"/>
      <c r="I123" s="253"/>
      <c r="J123" s="225"/>
    </row>
    <row r="124" spans="1:29" x14ac:dyDescent="0.3">
      <c r="A124" s="226" t="s">
        <v>158</v>
      </c>
      <c r="B124" s="351" t="s">
        <v>84</v>
      </c>
      <c r="C124" s="395"/>
      <c r="D124" s="395"/>
      <c r="E124" s="227"/>
      <c r="F124" s="227"/>
      <c r="G124" s="227"/>
      <c r="H124" s="227"/>
      <c r="I124" s="228"/>
    </row>
    <row r="125" spans="1:29" ht="16.5" customHeight="1" x14ac:dyDescent="0.3">
      <c r="A125" s="229" t="s">
        <v>151</v>
      </c>
      <c r="B125" s="352" t="s">
        <v>152</v>
      </c>
      <c r="C125" s="75"/>
      <c r="D125" s="75"/>
      <c r="E125" s="75"/>
      <c r="F125" s="75"/>
      <c r="G125" s="75"/>
      <c r="H125" s="75"/>
      <c r="I125" s="230"/>
      <c r="K125" s="201"/>
      <c r="V125" s="201"/>
    </row>
    <row r="126" spans="1:29" ht="14.5" thickBot="1" x14ac:dyDescent="0.35">
      <c r="A126" s="231" t="s">
        <v>85</v>
      </c>
      <c r="B126" s="353" t="s">
        <v>86</v>
      </c>
      <c r="C126" s="232"/>
      <c r="D126" s="232"/>
      <c r="E126" s="584" t="s">
        <v>142</v>
      </c>
      <c r="F126" s="584"/>
      <c r="G126" s="584"/>
      <c r="H126" s="584"/>
      <c r="I126" s="585"/>
    </row>
    <row r="127" spans="1:29" x14ac:dyDescent="0.3">
      <c r="A127" s="233"/>
      <c r="B127" s="234"/>
      <c r="C127" s="580" t="s">
        <v>182</v>
      </c>
      <c r="D127" s="581"/>
      <c r="E127" s="354">
        <v>0</v>
      </c>
      <c r="F127" s="354">
        <v>0</v>
      </c>
      <c r="G127" s="354">
        <v>0</v>
      </c>
      <c r="H127" s="354">
        <v>0</v>
      </c>
      <c r="I127" s="355">
        <v>0</v>
      </c>
    </row>
    <row r="128" spans="1:29" x14ac:dyDescent="0.3">
      <c r="A128" s="235"/>
      <c r="B128" s="236"/>
      <c r="C128" s="582" t="s">
        <v>101</v>
      </c>
      <c r="D128" s="583"/>
      <c r="E128" s="356">
        <v>0</v>
      </c>
      <c r="F128" s="356">
        <v>0</v>
      </c>
      <c r="G128" s="356">
        <v>0</v>
      </c>
      <c r="H128" s="356">
        <v>0</v>
      </c>
      <c r="I128" s="357">
        <v>0</v>
      </c>
    </row>
    <row r="129" spans="1:29" ht="34" customHeight="1" x14ac:dyDescent="0.3">
      <c r="A129" s="96"/>
      <c r="B129" s="237" t="s">
        <v>239</v>
      </c>
      <c r="C129" s="237" t="s">
        <v>225</v>
      </c>
      <c r="D129" s="237" t="s">
        <v>100</v>
      </c>
      <c r="E129" s="238" t="s">
        <v>88</v>
      </c>
      <c r="F129" s="238" t="s">
        <v>89</v>
      </c>
      <c r="G129" s="238" t="s">
        <v>90</v>
      </c>
      <c r="H129" s="238" t="s">
        <v>91</v>
      </c>
      <c r="I129" s="239" t="s">
        <v>92</v>
      </c>
    </row>
    <row r="130" spans="1:29" x14ac:dyDescent="0.3">
      <c r="A130" s="241" t="s">
        <v>93</v>
      </c>
      <c r="B130" s="185"/>
      <c r="C130" s="359"/>
      <c r="D130" s="242" t="s">
        <v>99</v>
      </c>
      <c r="E130" s="243">
        <f>C130*(E127+E128)</f>
        <v>0</v>
      </c>
      <c r="F130" s="243">
        <f>C130*(F127+F128)*(1+$B$3)</f>
        <v>0</v>
      </c>
      <c r="G130" s="243">
        <f>C130*(G127+G128)*(1+$B$3)^2</f>
        <v>0</v>
      </c>
      <c r="H130" s="243">
        <f>C130*(H127+H128)*(1+$B$3)^3</f>
        <v>0</v>
      </c>
      <c r="I130" s="244">
        <f>C130*(I127+I128)*(1+$B$3)^4</f>
        <v>0</v>
      </c>
    </row>
    <row r="131" spans="1:29" x14ac:dyDescent="0.3">
      <c r="A131" s="241" t="s">
        <v>97</v>
      </c>
      <c r="B131" s="358"/>
      <c r="C131" s="359"/>
      <c r="D131" s="242" t="s">
        <v>99</v>
      </c>
      <c r="E131" s="243">
        <f>((B131*C131)*(E127+E128))</f>
        <v>0</v>
      </c>
      <c r="F131" s="243">
        <f>((B131*C131)*(F127+F128)*(1+$B$3))</f>
        <v>0</v>
      </c>
      <c r="G131" s="243">
        <f>((B131*C131)*(G127+G128))*(1+$B$3)^2</f>
        <v>0</v>
      </c>
      <c r="H131" s="243">
        <f>((B131*C131)*(H127+H128))*(1+$B$3)^3</f>
        <v>0</v>
      </c>
      <c r="I131" s="244">
        <f>((B131*C131)*(I127+I128))*(1+$B$3)^4</f>
        <v>0</v>
      </c>
    </row>
    <row r="132" spans="1:29" x14ac:dyDescent="0.3">
      <c r="A132" s="241" t="s">
        <v>98</v>
      </c>
      <c r="B132" s="358"/>
      <c r="C132" s="359"/>
      <c r="D132" s="242" t="s">
        <v>99</v>
      </c>
      <c r="E132" s="243">
        <f>IF(B132=1,(E127+E128)*C132, IF(B132=0,0,((B132*C132-0.5*C132)*(E127+E128))))</f>
        <v>0</v>
      </c>
      <c r="F132" s="243">
        <f>IF(B132=1,(F127+F128)*C132*(1+$B$3), IF(B132=0,0,((B132*C132-0.5*C132)*(F127+F128))*(1+$B$3)))</f>
        <v>0</v>
      </c>
      <c r="G132" s="243">
        <f>IF(B132=1,(G127+G128)*C132*(1+$B$3)^2, IF(B132=0,0,((B132*C132-0.5*C132)*(G127+G128))*(1+$B$3)^2))</f>
        <v>0</v>
      </c>
      <c r="H132" s="243">
        <f>IF(B132=1,(H127+H128)*C132*(1+$B$3)^3, IF(B132=0,0,((B132*C132-0.5*C132)*(H127+H128))*(1+$B$3)^3))</f>
        <v>0</v>
      </c>
      <c r="I132" s="244">
        <f>IF(B132=1,(I127+I128)*C132*(1+$B$3)^4, IF(B132=0,0,((B132*C132-0.5*C132)*(I127+I128))*(1+$B$3)^4))</f>
        <v>0</v>
      </c>
    </row>
    <row r="133" spans="1:29" x14ac:dyDescent="0.3">
      <c r="A133" s="241" t="s">
        <v>94</v>
      </c>
      <c r="B133" s="358"/>
      <c r="C133" s="359"/>
      <c r="D133" s="242" t="s">
        <v>99</v>
      </c>
      <c r="E133" s="243">
        <f>C133*(E127+E128)*B133</f>
        <v>0</v>
      </c>
      <c r="F133" s="243">
        <f>C133*(F127+F128)*B133*(1+$B$3)</f>
        <v>0</v>
      </c>
      <c r="G133" s="243">
        <f>C133*(G127+G128)*B133*(1+$B$3)^2</f>
        <v>0</v>
      </c>
      <c r="H133" s="243">
        <f>C133*(H127+H128)*B133*(1+$B$3)^3</f>
        <v>0</v>
      </c>
      <c r="I133" s="244">
        <f>C133*(I127+I128)*B133*(1+$B$3)^4</f>
        <v>0</v>
      </c>
    </row>
    <row r="134" spans="1:29" x14ac:dyDescent="0.3">
      <c r="A134" s="241" t="s">
        <v>96</v>
      </c>
      <c r="B134" s="185"/>
      <c r="C134" s="359"/>
      <c r="D134" s="359"/>
      <c r="E134" s="243">
        <f>C134*E127+D134*E128</f>
        <v>0</v>
      </c>
      <c r="F134" s="243">
        <f>(C134*F127+D134*F128)*(1+$B$3)</f>
        <v>0</v>
      </c>
      <c r="G134" s="243">
        <f>(C134*G127+D134*G128)*(1+$B$3)^2</f>
        <v>0</v>
      </c>
      <c r="H134" s="243">
        <f>(C134*H127+D134*H128)*(1+$B$3)^3</f>
        <v>0</v>
      </c>
      <c r="I134" s="256">
        <f>(C134*I127+D134*I128)*(1+$B$3)^4</f>
        <v>0</v>
      </c>
      <c r="J134" s="225"/>
    </row>
    <row r="135" spans="1:29" ht="16.5" customHeight="1" x14ac:dyDescent="0.3">
      <c r="A135" s="360" t="s">
        <v>240</v>
      </c>
      <c r="B135" s="383" t="s">
        <v>242</v>
      </c>
      <c r="C135" s="290"/>
      <c r="D135" s="290"/>
      <c r="E135" s="362"/>
      <c r="F135" s="362"/>
      <c r="G135" s="362"/>
      <c r="H135" s="362"/>
      <c r="I135" s="363"/>
      <c r="J135" s="225"/>
      <c r="K135" s="175"/>
      <c r="M135" s="245"/>
      <c r="N135" s="246"/>
      <c r="O135" s="246"/>
      <c r="P135" s="246"/>
      <c r="Q135" s="246"/>
      <c r="R135" s="246"/>
      <c r="V135" s="175"/>
      <c r="X135" s="245"/>
      <c r="Y135" s="246"/>
      <c r="Z135" s="246"/>
      <c r="AA135" s="246"/>
      <c r="AB135" s="246"/>
      <c r="AC135" s="246"/>
    </row>
    <row r="136" spans="1:29" ht="14.5" thickBot="1" x14ac:dyDescent="0.35">
      <c r="A136" s="361" t="s">
        <v>171</v>
      </c>
      <c r="B136" s="384" t="s">
        <v>241</v>
      </c>
      <c r="C136" s="247"/>
      <c r="D136" s="247"/>
      <c r="E136" s="364"/>
      <c r="F136" s="364"/>
      <c r="G136" s="364"/>
      <c r="H136" s="364"/>
      <c r="I136" s="364"/>
    </row>
    <row r="137" spans="1:29" ht="15" thickTop="1" thickBot="1" x14ac:dyDescent="0.35">
      <c r="A137" s="248" t="s">
        <v>95</v>
      </c>
      <c r="B137" s="249"/>
      <c r="C137" s="250"/>
      <c r="D137" s="250"/>
      <c r="E137" s="251">
        <f>SUM(E130:E136)</f>
        <v>0</v>
      </c>
      <c r="F137" s="251">
        <f>SUM(F130:F136)</f>
        <v>0</v>
      </c>
      <c r="G137" s="251">
        <f>SUM(G130:G136)</f>
        <v>0</v>
      </c>
      <c r="H137" s="251">
        <f>SUM(H130:H136)</f>
        <v>0</v>
      </c>
      <c r="I137" s="252">
        <f>SUM(I130:I136)</f>
        <v>0</v>
      </c>
    </row>
    <row r="138" spans="1:29" hidden="1" x14ac:dyDescent="0.3">
      <c r="A138" s="253"/>
      <c r="B138" s="253"/>
      <c r="C138" s="253"/>
      <c r="D138" s="253" t="s">
        <v>168</v>
      </c>
      <c r="E138" s="253">
        <f>IF(B125="Domestic",E137,0)</f>
        <v>0</v>
      </c>
      <c r="F138" s="253">
        <f>IF(B125="Domestic",F137,0)</f>
        <v>0</v>
      </c>
      <c r="G138" s="253">
        <f>IF(B125="Domestic",G137,0)</f>
        <v>0</v>
      </c>
      <c r="H138" s="253">
        <f>IF(B125="Domestic",H137,0)</f>
        <v>0</v>
      </c>
      <c r="I138" s="253">
        <f>IF(B125="Domestic",I137,0)</f>
        <v>0</v>
      </c>
      <c r="J138" s="225"/>
    </row>
    <row r="139" spans="1:29" hidden="1" x14ac:dyDescent="0.3">
      <c r="A139" s="253"/>
      <c r="B139" s="253"/>
      <c r="C139" s="253"/>
      <c r="D139" s="253" t="s">
        <v>169</v>
      </c>
      <c r="E139" s="253">
        <f>IF(B125="Domestic",0,E137)</f>
        <v>0</v>
      </c>
      <c r="F139" s="253">
        <f>IF(B125="Domestic",0,F137)</f>
        <v>0</v>
      </c>
      <c r="G139" s="253">
        <f>IF(B125="Domestic",0,G137)</f>
        <v>0</v>
      </c>
      <c r="H139" s="253">
        <f>IF(B125="Domestic",0,H137)</f>
        <v>0</v>
      </c>
      <c r="I139" s="253">
        <f>IF(B125="Domestic",0,I137)</f>
        <v>0</v>
      </c>
      <c r="J139" s="225"/>
    </row>
    <row r="140" spans="1:29" ht="14.5" thickBot="1" x14ac:dyDescent="0.35">
      <c r="A140" s="253"/>
      <c r="B140" s="253"/>
      <c r="C140" s="253"/>
      <c r="D140" s="253"/>
      <c r="E140" s="253"/>
      <c r="F140" s="253"/>
      <c r="G140" s="253"/>
      <c r="H140" s="253"/>
      <c r="I140" s="253"/>
      <c r="J140" s="225"/>
    </row>
    <row r="141" spans="1:29" x14ac:dyDescent="0.3">
      <c r="A141" s="226" t="s">
        <v>161</v>
      </c>
      <c r="B141" s="351" t="s">
        <v>84</v>
      </c>
      <c r="C141" s="395"/>
      <c r="D141" s="395"/>
      <c r="E141" s="227"/>
      <c r="F141" s="227"/>
      <c r="G141" s="227"/>
      <c r="H141" s="227"/>
      <c r="I141" s="228"/>
    </row>
    <row r="142" spans="1:29" ht="16.5" customHeight="1" x14ac:dyDescent="0.3">
      <c r="A142" s="229" t="s">
        <v>151</v>
      </c>
      <c r="B142" s="352" t="s">
        <v>152</v>
      </c>
      <c r="C142" s="75"/>
      <c r="D142" s="75"/>
      <c r="E142" s="75"/>
      <c r="F142" s="75"/>
      <c r="G142" s="75"/>
      <c r="H142" s="75"/>
      <c r="I142" s="230"/>
      <c r="K142" s="201"/>
      <c r="V142" s="201"/>
    </row>
    <row r="143" spans="1:29" ht="14.5" thickBot="1" x14ac:dyDescent="0.35">
      <c r="A143" s="231" t="s">
        <v>85</v>
      </c>
      <c r="B143" s="353" t="s">
        <v>86</v>
      </c>
      <c r="C143" s="232"/>
      <c r="D143" s="232"/>
      <c r="E143" s="584" t="s">
        <v>87</v>
      </c>
      <c r="F143" s="584"/>
      <c r="G143" s="584"/>
      <c r="H143" s="584"/>
      <c r="I143" s="585"/>
    </row>
    <row r="144" spans="1:29" x14ac:dyDescent="0.3">
      <c r="A144" s="233"/>
      <c r="B144" s="234"/>
      <c r="C144" s="580" t="s">
        <v>182</v>
      </c>
      <c r="D144" s="581"/>
      <c r="E144" s="354">
        <v>0</v>
      </c>
      <c r="F144" s="354">
        <v>0</v>
      </c>
      <c r="G144" s="354">
        <v>0</v>
      </c>
      <c r="H144" s="354">
        <v>0</v>
      </c>
      <c r="I144" s="355">
        <v>0</v>
      </c>
    </row>
    <row r="145" spans="1:29" x14ac:dyDescent="0.3">
      <c r="A145" s="235"/>
      <c r="B145" s="236"/>
      <c r="C145" s="582" t="s">
        <v>101</v>
      </c>
      <c r="D145" s="583"/>
      <c r="E145" s="356">
        <v>0</v>
      </c>
      <c r="F145" s="356">
        <v>0</v>
      </c>
      <c r="G145" s="356">
        <v>0</v>
      </c>
      <c r="H145" s="356">
        <v>0</v>
      </c>
      <c r="I145" s="357">
        <v>0</v>
      </c>
    </row>
    <row r="146" spans="1:29" ht="34" customHeight="1" x14ac:dyDescent="0.3">
      <c r="A146" s="96"/>
      <c r="B146" s="237" t="s">
        <v>239</v>
      </c>
      <c r="C146" s="237" t="s">
        <v>225</v>
      </c>
      <c r="D146" s="237" t="s">
        <v>100</v>
      </c>
      <c r="E146" s="238" t="s">
        <v>88</v>
      </c>
      <c r="F146" s="238" t="s">
        <v>89</v>
      </c>
      <c r="G146" s="238" t="s">
        <v>90</v>
      </c>
      <c r="H146" s="238" t="s">
        <v>91</v>
      </c>
      <c r="I146" s="239" t="s">
        <v>92</v>
      </c>
    </row>
    <row r="147" spans="1:29" x14ac:dyDescent="0.3">
      <c r="A147" s="241" t="s">
        <v>93</v>
      </c>
      <c r="B147" s="185"/>
      <c r="C147" s="359"/>
      <c r="D147" s="242" t="s">
        <v>99</v>
      </c>
      <c r="E147" s="243">
        <f>C147*(E144+E145)</f>
        <v>0</v>
      </c>
      <c r="F147" s="243">
        <f>C147*(F144+F145)*(1+$B$3)</f>
        <v>0</v>
      </c>
      <c r="G147" s="243">
        <f>C147*(G144+G145)*(1+$B$3)^2</f>
        <v>0</v>
      </c>
      <c r="H147" s="243">
        <f>C147*(H144+H145)*(1+$B$3)^3</f>
        <v>0</v>
      </c>
      <c r="I147" s="244">
        <f>C147*(I144+I145)*(1+$B$3)^4</f>
        <v>0</v>
      </c>
    </row>
    <row r="148" spans="1:29" x14ac:dyDescent="0.3">
      <c r="A148" s="241" t="s">
        <v>97</v>
      </c>
      <c r="B148" s="358"/>
      <c r="C148" s="359"/>
      <c r="D148" s="242" t="s">
        <v>99</v>
      </c>
      <c r="E148" s="243">
        <f>((B148*C148)*(E144+E145))</f>
        <v>0</v>
      </c>
      <c r="F148" s="243">
        <f>((B148*C148)*(F144+F145)*(1+$B$3))</f>
        <v>0</v>
      </c>
      <c r="G148" s="243">
        <f>((B148*C148)*(G144+G145))*(1+$B$3)^2</f>
        <v>0</v>
      </c>
      <c r="H148" s="243">
        <f>((B148*C148)*(H144+H145))*(1+$B$3)^3</f>
        <v>0</v>
      </c>
      <c r="I148" s="244">
        <f>((B148*C148)*(I144+I145))*(1+$B$3)^4</f>
        <v>0</v>
      </c>
    </row>
    <row r="149" spans="1:29" x14ac:dyDescent="0.3">
      <c r="A149" s="241" t="s">
        <v>98</v>
      </c>
      <c r="B149" s="358"/>
      <c r="C149" s="359"/>
      <c r="D149" s="242" t="s">
        <v>99</v>
      </c>
      <c r="E149" s="243">
        <f>IF(B149=1,(E144+E145)*C149, IF(B149=0,0,((B149*C149-0.5*C149)*(E144+E145))))</f>
        <v>0</v>
      </c>
      <c r="F149" s="243">
        <f>IF(B149=1,(F144+F145)*C149*(1+$B$3), IF(B149=0,0,((B149*C149-0.5*C149)*(F144+F145))*(1+$B$3)))</f>
        <v>0</v>
      </c>
      <c r="G149" s="243">
        <f>IF(B149=1,(G144+G145)*C149*(1+$B$3)^2, IF(B149=0,0,((B149*C149-0.5*C149)*(G144+G145))*(1+$B$3)^2))</f>
        <v>0</v>
      </c>
      <c r="H149" s="243">
        <f>IF(B149=1,(H144+H145)*C149*(1+$B$3)^3, IF(B149=0,0,((B149*C149-0.5*C149)*(H144+H145))*(1+$B$3)^3))</f>
        <v>0</v>
      </c>
      <c r="I149" s="244">
        <f>IF(B149=1,(I144+I145)*C149*(1+$B$3)^4, IF(B149=0,0,((B149*C149-0.5*C149)*(I144+I145))*(1+$B$3)^4))</f>
        <v>0</v>
      </c>
    </row>
    <row r="150" spans="1:29" x14ac:dyDescent="0.3">
      <c r="A150" s="241" t="s">
        <v>94</v>
      </c>
      <c r="B150" s="358"/>
      <c r="C150" s="359"/>
      <c r="D150" s="242" t="s">
        <v>99</v>
      </c>
      <c r="E150" s="243">
        <f>C150*(E144+E145)*B150</f>
        <v>0</v>
      </c>
      <c r="F150" s="243">
        <f>C150*(F144+F145)*B150*(1+$B$3)</f>
        <v>0</v>
      </c>
      <c r="G150" s="243">
        <f>C150*(G144+G145)*B150*(1+$B$3)^2</f>
        <v>0</v>
      </c>
      <c r="H150" s="243">
        <f>C150*(H144+H145)*B150*(1+$B$3)^3</f>
        <v>0</v>
      </c>
      <c r="I150" s="244">
        <f>C150*(I144+I145)*B150*(1+$B$3)^4</f>
        <v>0</v>
      </c>
    </row>
    <row r="151" spans="1:29" x14ac:dyDescent="0.3">
      <c r="A151" s="241" t="s">
        <v>96</v>
      </c>
      <c r="B151" s="185"/>
      <c r="C151" s="359"/>
      <c r="D151" s="359"/>
      <c r="E151" s="243">
        <f>C151*E144+D151*E145</f>
        <v>0</v>
      </c>
      <c r="F151" s="243">
        <f>(C151*F144+D151*F145)*(1+$B$3)</f>
        <v>0</v>
      </c>
      <c r="G151" s="243">
        <f>(C151*G144+D151*G145)*(1+$B$3)^2</f>
        <v>0</v>
      </c>
      <c r="H151" s="243">
        <f>(C151*H144+D151*H145)*(1+$B$3)^3</f>
        <v>0</v>
      </c>
      <c r="I151" s="256">
        <f>(C151*I144+D151*I145)*(1+$B$3)^4</f>
        <v>0</v>
      </c>
      <c r="J151" s="225"/>
    </row>
    <row r="152" spans="1:29" ht="16.5" customHeight="1" x14ac:dyDescent="0.3">
      <c r="A152" s="360" t="s">
        <v>240</v>
      </c>
      <c r="B152" s="383" t="s">
        <v>242</v>
      </c>
      <c r="C152" s="290"/>
      <c r="D152" s="290"/>
      <c r="E152" s="362"/>
      <c r="F152" s="362"/>
      <c r="G152" s="362"/>
      <c r="H152" s="362"/>
      <c r="I152" s="363"/>
      <c r="J152" s="225"/>
      <c r="K152" s="175"/>
      <c r="M152" s="245"/>
      <c r="N152" s="246"/>
      <c r="O152" s="246"/>
      <c r="P152" s="246"/>
      <c r="Q152" s="246"/>
      <c r="R152" s="246"/>
      <c r="V152" s="175"/>
      <c r="X152" s="245"/>
      <c r="Y152" s="246"/>
      <c r="Z152" s="246"/>
      <c r="AA152" s="246"/>
      <c r="AB152" s="246"/>
      <c r="AC152" s="246"/>
    </row>
    <row r="153" spans="1:29" ht="14.5" thickBot="1" x14ac:dyDescent="0.35">
      <c r="A153" s="361" t="s">
        <v>171</v>
      </c>
      <c r="B153" s="384" t="s">
        <v>241</v>
      </c>
      <c r="C153" s="247"/>
      <c r="D153" s="247"/>
      <c r="E153" s="364"/>
      <c r="F153" s="364"/>
      <c r="G153" s="364"/>
      <c r="H153" s="364"/>
      <c r="I153" s="364"/>
      <c r="J153" s="225"/>
    </row>
    <row r="154" spans="1:29" ht="15" thickTop="1" thickBot="1" x14ac:dyDescent="0.35">
      <c r="A154" s="248" t="s">
        <v>95</v>
      </c>
      <c r="B154" s="249"/>
      <c r="C154" s="250"/>
      <c r="D154" s="250"/>
      <c r="E154" s="251">
        <f>SUM(E147:E153)</f>
        <v>0</v>
      </c>
      <c r="F154" s="251">
        <f>SUM(F147:F153)</f>
        <v>0</v>
      </c>
      <c r="G154" s="251">
        <f>SUM(G147:G153)</f>
        <v>0</v>
      </c>
      <c r="H154" s="251">
        <f>SUM(H147:H153)</f>
        <v>0</v>
      </c>
      <c r="I154" s="252">
        <f>SUM(I147:I153)</f>
        <v>0</v>
      </c>
    </row>
    <row r="155" spans="1:29" hidden="1" x14ac:dyDescent="0.3">
      <c r="A155" s="253"/>
      <c r="B155" s="253"/>
      <c r="C155" s="253"/>
      <c r="D155" s="253" t="s">
        <v>168</v>
      </c>
      <c r="E155" s="253">
        <f>IF(B142="Domestic",E154,0)</f>
        <v>0</v>
      </c>
      <c r="F155" s="253">
        <f>IF(B142="Domestic",F154,0)</f>
        <v>0</v>
      </c>
      <c r="G155" s="253">
        <f>IF(B142="Domestic",G154,0)</f>
        <v>0</v>
      </c>
      <c r="H155" s="253">
        <f>IF(B142="Domestic",H154,0)</f>
        <v>0</v>
      </c>
      <c r="I155" s="253">
        <f>IF(B142="Domestic",I154,0)</f>
        <v>0</v>
      </c>
      <c r="J155" s="225"/>
    </row>
    <row r="156" spans="1:29" hidden="1" x14ac:dyDescent="0.3">
      <c r="A156" s="253"/>
      <c r="B156" s="253"/>
      <c r="C156" s="253"/>
      <c r="D156" s="253" t="s">
        <v>169</v>
      </c>
      <c r="E156" s="253">
        <f>IF(B142="Domestic",0,E154)</f>
        <v>0</v>
      </c>
      <c r="F156" s="253">
        <f>IF(B142="Domestic",0,F154)</f>
        <v>0</v>
      </c>
      <c r="G156" s="253">
        <f>IF(B142="Domestic",0,G154)</f>
        <v>0</v>
      </c>
      <c r="H156" s="253">
        <f>IF(B142="Domestic",0,H154)</f>
        <v>0</v>
      </c>
      <c r="I156" s="253">
        <f>IF(B142="Domestic",0,I154)</f>
        <v>0</v>
      </c>
      <c r="J156" s="225"/>
    </row>
    <row r="157" spans="1:29" ht="14.5" thickBot="1" x14ac:dyDescent="0.35">
      <c r="A157" s="259"/>
      <c r="B157" s="260"/>
      <c r="C157" s="261"/>
      <c r="D157" s="261"/>
      <c r="E157" s="262"/>
      <c r="F157" s="262"/>
      <c r="G157" s="262"/>
      <c r="H157" s="262"/>
      <c r="I157" s="263"/>
    </row>
    <row r="158" spans="1:29" x14ac:dyDescent="0.3">
      <c r="A158" s="226" t="s">
        <v>162</v>
      </c>
      <c r="B158" s="351" t="s">
        <v>84</v>
      </c>
      <c r="C158" s="395"/>
      <c r="D158" s="395"/>
      <c r="E158" s="227"/>
      <c r="F158" s="227"/>
      <c r="G158" s="227"/>
      <c r="H158" s="227"/>
      <c r="I158" s="228"/>
    </row>
    <row r="159" spans="1:29" ht="16.5" customHeight="1" x14ac:dyDescent="0.3">
      <c r="A159" s="229" t="s">
        <v>151</v>
      </c>
      <c r="B159" s="352" t="s">
        <v>152</v>
      </c>
      <c r="C159" s="75"/>
      <c r="D159" s="75"/>
      <c r="E159" s="75"/>
      <c r="F159" s="75"/>
      <c r="G159" s="75"/>
      <c r="H159" s="75"/>
      <c r="I159" s="230"/>
      <c r="K159" s="201"/>
      <c r="V159" s="201"/>
    </row>
    <row r="160" spans="1:29" ht="14.5" thickBot="1" x14ac:dyDescent="0.35">
      <c r="A160" s="231" t="s">
        <v>85</v>
      </c>
      <c r="B160" s="353" t="s">
        <v>86</v>
      </c>
      <c r="C160" s="232"/>
      <c r="D160" s="232"/>
      <c r="E160" s="584" t="s">
        <v>87</v>
      </c>
      <c r="F160" s="584"/>
      <c r="G160" s="584"/>
      <c r="H160" s="584"/>
      <c r="I160" s="585"/>
    </row>
    <row r="161" spans="1:29" x14ac:dyDescent="0.3">
      <c r="A161" s="233"/>
      <c r="B161" s="234"/>
      <c r="C161" s="580" t="s">
        <v>182</v>
      </c>
      <c r="D161" s="581"/>
      <c r="E161" s="354">
        <v>0</v>
      </c>
      <c r="F161" s="354">
        <v>0</v>
      </c>
      <c r="G161" s="354">
        <v>0</v>
      </c>
      <c r="H161" s="354">
        <v>0</v>
      </c>
      <c r="I161" s="355">
        <v>0</v>
      </c>
    </row>
    <row r="162" spans="1:29" x14ac:dyDescent="0.3">
      <c r="A162" s="235"/>
      <c r="B162" s="236"/>
      <c r="C162" s="582" t="s">
        <v>101</v>
      </c>
      <c r="D162" s="583"/>
      <c r="E162" s="356">
        <v>0</v>
      </c>
      <c r="F162" s="356">
        <v>0</v>
      </c>
      <c r="G162" s="356">
        <v>0</v>
      </c>
      <c r="H162" s="356">
        <v>0</v>
      </c>
      <c r="I162" s="357">
        <v>0</v>
      </c>
    </row>
    <row r="163" spans="1:29" ht="34" customHeight="1" x14ac:dyDescent="0.3">
      <c r="A163" s="96"/>
      <c r="B163" s="237" t="s">
        <v>239</v>
      </c>
      <c r="C163" s="237" t="s">
        <v>225</v>
      </c>
      <c r="D163" s="237" t="s">
        <v>100</v>
      </c>
      <c r="E163" s="238" t="s">
        <v>88</v>
      </c>
      <c r="F163" s="238" t="s">
        <v>89</v>
      </c>
      <c r="G163" s="238" t="s">
        <v>90</v>
      </c>
      <c r="H163" s="238" t="s">
        <v>91</v>
      </c>
      <c r="I163" s="239" t="s">
        <v>92</v>
      </c>
    </row>
    <row r="164" spans="1:29" x14ac:dyDescent="0.3">
      <c r="A164" s="241" t="s">
        <v>93</v>
      </c>
      <c r="B164" s="185"/>
      <c r="C164" s="359"/>
      <c r="D164" s="242" t="s">
        <v>99</v>
      </c>
      <c r="E164" s="243">
        <f>C164*(E161+E162)</f>
        <v>0</v>
      </c>
      <c r="F164" s="243">
        <f>C164*(F161+F162)*(1+$B$3)</f>
        <v>0</v>
      </c>
      <c r="G164" s="243">
        <f>C164*(G161+G162)*(1+$B$3)^2</f>
        <v>0</v>
      </c>
      <c r="H164" s="243">
        <f>C164*(H161+H162)*(1+$B$3)^3</f>
        <v>0</v>
      </c>
      <c r="I164" s="244">
        <f>C164*(I161+I162)*(1+$B$3)^4</f>
        <v>0</v>
      </c>
    </row>
    <row r="165" spans="1:29" x14ac:dyDescent="0.3">
      <c r="A165" s="241" t="s">
        <v>97</v>
      </c>
      <c r="B165" s="358"/>
      <c r="C165" s="359"/>
      <c r="D165" s="242" t="s">
        <v>99</v>
      </c>
      <c r="E165" s="243">
        <f>((B165*C165)*(E161+E162))</f>
        <v>0</v>
      </c>
      <c r="F165" s="243">
        <f>((B165*C165)*(F161+F162)*(1+$B$3))</f>
        <v>0</v>
      </c>
      <c r="G165" s="243">
        <f>((B165*C165)*(G161+G162))*(1+$B$3)^2</f>
        <v>0</v>
      </c>
      <c r="H165" s="243">
        <f>((B165*C165)*(H161+H162))*(1+$B$3)^3</f>
        <v>0</v>
      </c>
      <c r="I165" s="244">
        <f>((B165*C165)*(I161+I162))*(1+$B$3)^4</f>
        <v>0</v>
      </c>
    </row>
    <row r="166" spans="1:29" x14ac:dyDescent="0.3">
      <c r="A166" s="241" t="s">
        <v>98</v>
      </c>
      <c r="B166" s="358"/>
      <c r="C166" s="359"/>
      <c r="D166" s="242" t="s">
        <v>99</v>
      </c>
      <c r="E166" s="243">
        <f>IF(B166=1,(E161+E162)*C166, IF(B166=0,0,((B166*C166-0.5*C166)*(E161+E162))))</f>
        <v>0</v>
      </c>
      <c r="F166" s="243">
        <f>IF(B166=1,(F161+F162)*C166*(1+$B$3), IF(B166=0,0,((B166*C166-0.5*C166)*(F161+F162))*(1+$B$3)))</f>
        <v>0</v>
      </c>
      <c r="G166" s="243">
        <f>IF(B166=1,(G161+G162)*C166*(1+$B$3)^2, IF(B166=0,0,((B166*C166-0.5*C166)*(G161+G162))*(1+$B$3)^2))</f>
        <v>0</v>
      </c>
      <c r="H166" s="243">
        <f>IF(B166=1,(H161+H162)*C166*(1+$B$3)^3, IF(B166=0,0,((B166*C166-0.5*C166)*(H161+H162))*(1+$B$3)^3))</f>
        <v>0</v>
      </c>
      <c r="I166" s="244">
        <f>IF(B166=1,(I161+I162)*C166*(1+$B$3)^4, IF(B166=0,0,((B166*C166-0.5*C166)*(I161+I162))*(1+$B$3)^4))</f>
        <v>0</v>
      </c>
    </row>
    <row r="167" spans="1:29" x14ac:dyDescent="0.3">
      <c r="A167" s="241" t="s">
        <v>94</v>
      </c>
      <c r="B167" s="358"/>
      <c r="C167" s="359"/>
      <c r="D167" s="242" t="s">
        <v>99</v>
      </c>
      <c r="E167" s="243">
        <f>C167*(E161+E162)*B167</f>
        <v>0</v>
      </c>
      <c r="F167" s="243">
        <f>C167*(F161+F162)*B167*(1+$B$3)</f>
        <v>0</v>
      </c>
      <c r="G167" s="243">
        <f>C167*(G161+G162)*B167*(1+$B$3)^2</f>
        <v>0</v>
      </c>
      <c r="H167" s="243">
        <f>C167*(H161+H162)*B167*(1+$B$3)^3</f>
        <v>0</v>
      </c>
      <c r="I167" s="244">
        <f>C167*(I161+I162)*B167*(1+$B$3)^4</f>
        <v>0</v>
      </c>
    </row>
    <row r="168" spans="1:29" x14ac:dyDescent="0.3">
      <c r="A168" s="241" t="s">
        <v>96</v>
      </c>
      <c r="B168" s="185"/>
      <c r="C168" s="359"/>
      <c r="D168" s="359"/>
      <c r="E168" s="243">
        <f>C168*E161+D168*E162</f>
        <v>0</v>
      </c>
      <c r="F168" s="243">
        <f>(C168*F161+D168*F162)*(1+$B$3)</f>
        <v>0</v>
      </c>
      <c r="G168" s="243">
        <f>(C168*G161+D168*G162)*(1+$B$3)^2</f>
        <v>0</v>
      </c>
      <c r="H168" s="243">
        <f>(C168*H161+D168*H162)*(1+$B$3)^3</f>
        <v>0</v>
      </c>
      <c r="I168" s="256">
        <f>(C168*I161+D168*I162)*(1+$B$3)^4</f>
        <v>0</v>
      </c>
      <c r="J168" s="225"/>
    </row>
    <row r="169" spans="1:29" ht="16.5" customHeight="1" x14ac:dyDescent="0.3">
      <c r="A169" s="360" t="s">
        <v>240</v>
      </c>
      <c r="B169" s="383" t="s">
        <v>242</v>
      </c>
      <c r="C169" s="290"/>
      <c r="D169" s="290"/>
      <c r="E169" s="362"/>
      <c r="F169" s="362"/>
      <c r="G169" s="362"/>
      <c r="H169" s="362"/>
      <c r="I169" s="363"/>
      <c r="J169" s="225"/>
      <c r="K169" s="175"/>
      <c r="M169" s="245"/>
      <c r="N169" s="246"/>
      <c r="O169" s="246"/>
      <c r="P169" s="246"/>
      <c r="Q169" s="246"/>
      <c r="R169" s="246"/>
      <c r="V169" s="175"/>
      <c r="X169" s="245"/>
      <c r="Y169" s="246"/>
      <c r="Z169" s="246"/>
      <c r="AA169" s="246"/>
      <c r="AB169" s="246"/>
      <c r="AC169" s="246"/>
    </row>
    <row r="170" spans="1:29" ht="14.5" thickBot="1" x14ac:dyDescent="0.35">
      <c r="A170" s="361" t="s">
        <v>171</v>
      </c>
      <c r="B170" s="384" t="s">
        <v>241</v>
      </c>
      <c r="C170" s="247"/>
      <c r="D170" s="247"/>
      <c r="E170" s="364"/>
      <c r="F170" s="364"/>
      <c r="G170" s="364"/>
      <c r="H170" s="364"/>
      <c r="I170" s="364"/>
      <c r="J170" s="225"/>
    </row>
    <row r="171" spans="1:29" ht="15" thickTop="1" thickBot="1" x14ac:dyDescent="0.35">
      <c r="A171" s="248" t="s">
        <v>95</v>
      </c>
      <c r="B171" s="249"/>
      <c r="C171" s="250"/>
      <c r="D171" s="250"/>
      <c r="E171" s="251">
        <f>SUM(E164:E170)</f>
        <v>0</v>
      </c>
      <c r="F171" s="251">
        <f>SUM(F164:F170)</f>
        <v>0</v>
      </c>
      <c r="G171" s="251">
        <f>SUM(G164:G170)</f>
        <v>0</v>
      </c>
      <c r="H171" s="251">
        <f>SUM(H164:H170)</f>
        <v>0</v>
      </c>
      <c r="I171" s="252">
        <f>SUM(I164:I170)</f>
        <v>0</v>
      </c>
    </row>
    <row r="172" spans="1:29" hidden="1" x14ac:dyDescent="0.3">
      <c r="A172" s="253"/>
      <c r="B172" s="253"/>
      <c r="C172" s="253"/>
      <c r="D172" s="253" t="s">
        <v>168</v>
      </c>
      <c r="E172" s="253">
        <f>IF(B159="Domestic",E171,0)</f>
        <v>0</v>
      </c>
      <c r="F172" s="253">
        <f>IF(B159="Domestic",F171,0)</f>
        <v>0</v>
      </c>
      <c r="G172" s="253">
        <f>IF(B159="Domestic",G171,0)</f>
        <v>0</v>
      </c>
      <c r="H172" s="253">
        <f>IF(B159="Domestic",H171,0)</f>
        <v>0</v>
      </c>
      <c r="I172" s="253">
        <f>IF(B159="Domestic",I171,0)</f>
        <v>0</v>
      </c>
      <c r="J172" s="225"/>
    </row>
    <row r="173" spans="1:29" hidden="1" x14ac:dyDescent="0.3">
      <c r="A173" s="253"/>
      <c r="B173" s="253"/>
      <c r="C173" s="253"/>
      <c r="D173" s="253" t="s">
        <v>169</v>
      </c>
      <c r="E173" s="253">
        <f>IF(B159="Domestic",0,E171)</f>
        <v>0</v>
      </c>
      <c r="F173" s="253">
        <f>IF(B159="Domestic",0,F171)</f>
        <v>0</v>
      </c>
      <c r="G173" s="253">
        <f>IF(B159="Domestic",0,G171)</f>
        <v>0</v>
      </c>
      <c r="H173" s="253">
        <f>IF(B159="Domestic",0,H171)</f>
        <v>0</v>
      </c>
      <c r="I173" s="253">
        <f>IF(B159="Domestic",0,I171)</f>
        <v>0</v>
      </c>
      <c r="J173" s="225"/>
    </row>
    <row r="174" spans="1:29" ht="14.5" thickBot="1" x14ac:dyDescent="0.35">
      <c r="A174" s="259"/>
      <c r="B174" s="260"/>
      <c r="C174" s="261"/>
      <c r="D174" s="261"/>
      <c r="E174" s="262"/>
      <c r="F174" s="262"/>
      <c r="G174" s="262"/>
      <c r="H174" s="262"/>
      <c r="I174" s="263"/>
      <c r="J174" s="225"/>
    </row>
    <row r="175" spans="1:29" x14ac:dyDescent="0.3">
      <c r="A175" s="226" t="s">
        <v>163</v>
      </c>
      <c r="B175" s="351" t="s">
        <v>84</v>
      </c>
      <c r="C175" s="395"/>
      <c r="D175" s="395"/>
      <c r="E175" s="227"/>
      <c r="F175" s="227"/>
      <c r="G175" s="227"/>
      <c r="H175" s="227"/>
      <c r="I175" s="228"/>
    </row>
    <row r="176" spans="1:29" ht="16.5" customHeight="1" x14ac:dyDescent="0.3">
      <c r="A176" s="229" t="s">
        <v>151</v>
      </c>
      <c r="B176" s="352" t="s">
        <v>170</v>
      </c>
      <c r="C176" s="75"/>
      <c r="D176" s="75"/>
      <c r="E176" s="75"/>
      <c r="F176" s="75"/>
      <c r="G176" s="75"/>
      <c r="H176" s="75"/>
      <c r="I176" s="230"/>
      <c r="K176" s="201"/>
      <c r="V176" s="201"/>
    </row>
    <row r="177" spans="1:29" ht="14.5" thickBot="1" x14ac:dyDescent="0.35">
      <c r="A177" s="231" t="s">
        <v>85</v>
      </c>
      <c r="B177" s="353" t="s">
        <v>86</v>
      </c>
      <c r="C177" s="232"/>
      <c r="D177" s="232"/>
      <c r="E177" s="584" t="s">
        <v>87</v>
      </c>
      <c r="F177" s="584"/>
      <c r="G177" s="584"/>
      <c r="H177" s="584"/>
      <c r="I177" s="585"/>
    </row>
    <row r="178" spans="1:29" x14ac:dyDescent="0.3">
      <c r="A178" s="233"/>
      <c r="B178" s="234"/>
      <c r="C178" s="580" t="s">
        <v>182</v>
      </c>
      <c r="D178" s="581"/>
      <c r="E178" s="354">
        <v>0</v>
      </c>
      <c r="F178" s="354">
        <v>0</v>
      </c>
      <c r="G178" s="354">
        <v>0</v>
      </c>
      <c r="H178" s="354">
        <v>0</v>
      </c>
      <c r="I178" s="355">
        <v>0</v>
      </c>
    </row>
    <row r="179" spans="1:29" x14ac:dyDescent="0.3">
      <c r="A179" s="235"/>
      <c r="B179" s="236"/>
      <c r="C179" s="582" t="s">
        <v>101</v>
      </c>
      <c r="D179" s="583"/>
      <c r="E179" s="356">
        <v>0</v>
      </c>
      <c r="F179" s="356">
        <v>0</v>
      </c>
      <c r="G179" s="356">
        <v>0</v>
      </c>
      <c r="H179" s="356">
        <v>0</v>
      </c>
      <c r="I179" s="357">
        <v>0</v>
      </c>
    </row>
    <row r="180" spans="1:29" ht="34" customHeight="1" x14ac:dyDescent="0.3">
      <c r="A180" s="96"/>
      <c r="B180" s="237" t="s">
        <v>239</v>
      </c>
      <c r="C180" s="237" t="s">
        <v>225</v>
      </c>
      <c r="D180" s="237" t="s">
        <v>100</v>
      </c>
      <c r="E180" s="238" t="s">
        <v>88</v>
      </c>
      <c r="F180" s="238" t="s">
        <v>89</v>
      </c>
      <c r="G180" s="238" t="s">
        <v>90</v>
      </c>
      <c r="H180" s="238" t="s">
        <v>91</v>
      </c>
      <c r="I180" s="239" t="s">
        <v>92</v>
      </c>
    </row>
    <row r="181" spans="1:29" x14ac:dyDescent="0.3">
      <c r="A181" s="241" t="s">
        <v>93</v>
      </c>
      <c r="B181" s="185"/>
      <c r="C181" s="359"/>
      <c r="D181" s="242" t="s">
        <v>99</v>
      </c>
      <c r="E181" s="243">
        <f>C181*(E178+E179)</f>
        <v>0</v>
      </c>
      <c r="F181" s="243">
        <f>C181*(F178+F179)*(1+$B$3)</f>
        <v>0</v>
      </c>
      <c r="G181" s="243">
        <f>C181*(G178+G179)*(1+$B$3)^2</f>
        <v>0</v>
      </c>
      <c r="H181" s="243">
        <f>C181*(H178+H179)*(1+$B$3)^3</f>
        <v>0</v>
      </c>
      <c r="I181" s="244">
        <f>C181*(I178+I179)*(1+$B$3)^4</f>
        <v>0</v>
      </c>
    </row>
    <row r="182" spans="1:29" x14ac:dyDescent="0.3">
      <c r="A182" s="241" t="s">
        <v>97</v>
      </c>
      <c r="B182" s="358"/>
      <c r="C182" s="359"/>
      <c r="D182" s="242" t="s">
        <v>99</v>
      </c>
      <c r="E182" s="243">
        <f>((B182*C182)*(E178+E179))</f>
        <v>0</v>
      </c>
      <c r="F182" s="243">
        <f>((B182*C182)*(F178+F179)*(1+$B$3))</f>
        <v>0</v>
      </c>
      <c r="G182" s="243">
        <f>((B182*C182)*(G178+G179))*(1+$B$3)^2</f>
        <v>0</v>
      </c>
      <c r="H182" s="243">
        <f>((B182*C182)*(H178+H179))*(1+$B$3)^3</f>
        <v>0</v>
      </c>
      <c r="I182" s="244">
        <f>((B182*C182)*(I178+I179))*(1+$B$3)^4</f>
        <v>0</v>
      </c>
    </row>
    <row r="183" spans="1:29" x14ac:dyDescent="0.3">
      <c r="A183" s="241" t="s">
        <v>98</v>
      </c>
      <c r="B183" s="358"/>
      <c r="C183" s="359"/>
      <c r="D183" s="242" t="s">
        <v>99</v>
      </c>
      <c r="E183" s="243">
        <f>IF(B183=1,(E178+E179)*C183, IF(B183=0,0,((B183*C183-0.5*C183)*(E178+E179))))</f>
        <v>0</v>
      </c>
      <c r="F183" s="243">
        <f>IF(B183=1,(F178+F179)*C183*(1+$B$3), IF(B183=0,0,((B183*C183-0.5*C183)*(F178+F179))*(1+$B$3)))</f>
        <v>0</v>
      </c>
      <c r="G183" s="243">
        <f>IF(B183=1,(G178+G179)*C183*(1+$B$3)^2, IF(B183=0,0,((B183*C183-0.5*C183)*(G178+G179))*(1+$B$3)^2))</f>
        <v>0</v>
      </c>
      <c r="H183" s="243">
        <f>IF(B183=1,(H178+H179)*C183*(1+$B$3)^3, IF(B183=0,0,((B183*C183-0.5*C183)*(H178+H179))*(1+$B$3)^3))</f>
        <v>0</v>
      </c>
      <c r="I183" s="244">
        <f>IF(B183=1,(I178+I179)*C183*(1+$B$3)^4, IF(B183=0,0,((B183*C183-0.5*C183)*(I178+I179))*(1+$B$3)^4))</f>
        <v>0</v>
      </c>
    </row>
    <row r="184" spans="1:29" x14ac:dyDescent="0.3">
      <c r="A184" s="241" t="s">
        <v>94</v>
      </c>
      <c r="B184" s="358"/>
      <c r="C184" s="359"/>
      <c r="D184" s="242" t="s">
        <v>99</v>
      </c>
      <c r="E184" s="243">
        <f>C184*(E178+E179)*B184</f>
        <v>0</v>
      </c>
      <c r="F184" s="243">
        <f>C184*(F178+F179)*B184*(1+$B$3)</f>
        <v>0</v>
      </c>
      <c r="G184" s="243">
        <f>C184*(G178+G179)*B184*(1+$B$3)^2</f>
        <v>0</v>
      </c>
      <c r="H184" s="243">
        <f>C184*(H178+H179)*B184*(1+$B$3)^3</f>
        <v>0</v>
      </c>
      <c r="I184" s="244">
        <f>C184*(I178+I179)*B184*(1+$B$3)^4</f>
        <v>0</v>
      </c>
    </row>
    <row r="185" spans="1:29" x14ac:dyDescent="0.3">
      <c r="A185" s="241" t="s">
        <v>96</v>
      </c>
      <c r="B185" s="185"/>
      <c r="C185" s="359"/>
      <c r="D185" s="359"/>
      <c r="E185" s="243">
        <f>C185*E178+D185*E179</f>
        <v>0</v>
      </c>
      <c r="F185" s="243">
        <f>(C185*F178+D185*F179)*(1+$B$3)</f>
        <v>0</v>
      </c>
      <c r="G185" s="243">
        <f>(C185*G178+D185*G179)*(1+$B$3)^2</f>
        <v>0</v>
      </c>
      <c r="H185" s="243">
        <f>(C185*H178+D185*H179)*(1+$B$3)^3</f>
        <v>0</v>
      </c>
      <c r="I185" s="256">
        <f>(C185*I178+D185*I179)*(1+$B$3)^4</f>
        <v>0</v>
      </c>
      <c r="J185" s="225"/>
    </row>
    <row r="186" spans="1:29" ht="16.5" customHeight="1" x14ac:dyDescent="0.3">
      <c r="A186" s="360" t="s">
        <v>240</v>
      </c>
      <c r="B186" s="383" t="s">
        <v>242</v>
      </c>
      <c r="C186" s="290"/>
      <c r="D186" s="290"/>
      <c r="E186" s="362"/>
      <c r="F186" s="362"/>
      <c r="G186" s="362"/>
      <c r="H186" s="362"/>
      <c r="I186" s="363"/>
      <c r="J186" s="225"/>
      <c r="K186" s="175"/>
      <c r="M186" s="245"/>
      <c r="N186" s="246"/>
      <c r="O186" s="246"/>
      <c r="P186" s="246"/>
      <c r="Q186" s="246"/>
      <c r="R186" s="246"/>
      <c r="V186" s="175"/>
      <c r="X186" s="245"/>
      <c r="Y186" s="246"/>
      <c r="Z186" s="246"/>
      <c r="AA186" s="246"/>
      <c r="AB186" s="246"/>
      <c r="AC186" s="246"/>
    </row>
    <row r="187" spans="1:29" ht="14.5" thickBot="1" x14ac:dyDescent="0.35">
      <c r="A187" s="361" t="s">
        <v>171</v>
      </c>
      <c r="B187" s="384" t="s">
        <v>241</v>
      </c>
      <c r="C187" s="247"/>
      <c r="D187" s="247"/>
      <c r="E187" s="364"/>
      <c r="F187" s="364"/>
      <c r="G187" s="364"/>
      <c r="H187" s="364"/>
      <c r="I187" s="364"/>
      <c r="J187" s="225"/>
    </row>
    <row r="188" spans="1:29" ht="15" thickTop="1" thickBot="1" x14ac:dyDescent="0.35">
      <c r="A188" s="248" t="s">
        <v>95</v>
      </c>
      <c r="B188" s="249"/>
      <c r="C188" s="250"/>
      <c r="D188" s="250"/>
      <c r="E188" s="251">
        <f>SUM(E181:E187)</f>
        <v>0</v>
      </c>
      <c r="F188" s="251">
        <f>SUM(F181:F187)</f>
        <v>0</v>
      </c>
      <c r="G188" s="251">
        <f>SUM(G181:G187)</f>
        <v>0</v>
      </c>
      <c r="H188" s="251">
        <f>SUM(H181:H187)</f>
        <v>0</v>
      </c>
      <c r="I188" s="252">
        <f>SUM(I181:I187)</f>
        <v>0</v>
      </c>
    </row>
    <row r="189" spans="1:29" hidden="1" x14ac:dyDescent="0.3">
      <c r="A189" s="253"/>
      <c r="B189" s="253"/>
      <c r="C189" s="253"/>
      <c r="D189" s="253" t="s">
        <v>168</v>
      </c>
      <c r="E189" s="253">
        <f>IF(B176="Domestic",E188,0)</f>
        <v>0</v>
      </c>
      <c r="F189" s="253">
        <f>IF(B176="Domestic",F188,0)</f>
        <v>0</v>
      </c>
      <c r="G189" s="253">
        <f>IF(B176="Domestic",G188,0)</f>
        <v>0</v>
      </c>
      <c r="H189" s="253">
        <f>IF(B176="Domestic",H188,0)</f>
        <v>0</v>
      </c>
      <c r="I189" s="253">
        <f>IF(B176="Domestic",I188,0)</f>
        <v>0</v>
      </c>
      <c r="J189" s="225"/>
    </row>
    <row r="190" spans="1:29" hidden="1" x14ac:dyDescent="0.3">
      <c r="A190" s="253"/>
      <c r="B190" s="253"/>
      <c r="C190" s="253"/>
      <c r="D190" s="253" t="s">
        <v>169</v>
      </c>
      <c r="E190" s="253">
        <f>IF(B176="Domestic",0,E188)</f>
        <v>0</v>
      </c>
      <c r="F190" s="253">
        <f>IF(B176="Domestic",0,F188)</f>
        <v>0</v>
      </c>
      <c r="G190" s="253">
        <f>IF(B176="Domestic",0,G188)</f>
        <v>0</v>
      </c>
      <c r="H190" s="253">
        <f>IF(B176="Domestic",0,H188)</f>
        <v>0</v>
      </c>
      <c r="I190" s="253">
        <f>IF(B176="Domestic",0,I188)</f>
        <v>0</v>
      </c>
      <c r="J190" s="225"/>
    </row>
    <row r="191" spans="1:29" ht="14.5" thickBot="1" x14ac:dyDescent="0.35">
      <c r="A191" s="259"/>
      <c r="B191" s="260"/>
      <c r="C191" s="261"/>
      <c r="D191" s="261"/>
      <c r="E191" s="262"/>
      <c r="F191" s="262"/>
      <c r="G191" s="262"/>
      <c r="H191" s="262"/>
      <c r="I191" s="262"/>
      <c r="J191" s="225"/>
    </row>
    <row r="192" spans="1:29" x14ac:dyDescent="0.3">
      <c r="A192" s="226" t="s">
        <v>164</v>
      </c>
      <c r="B192" s="351" t="s">
        <v>84</v>
      </c>
      <c r="C192" s="395"/>
      <c r="D192" s="395"/>
      <c r="E192" s="227"/>
      <c r="F192" s="227"/>
      <c r="G192" s="227"/>
      <c r="H192" s="227"/>
      <c r="I192" s="228"/>
    </row>
    <row r="193" spans="1:29" ht="16.5" customHeight="1" x14ac:dyDescent="0.3">
      <c r="A193" s="229" t="s">
        <v>151</v>
      </c>
      <c r="B193" s="352" t="s">
        <v>170</v>
      </c>
      <c r="C193" s="75"/>
      <c r="D193" s="75"/>
      <c r="E193" s="75"/>
      <c r="F193" s="75"/>
      <c r="G193" s="75"/>
      <c r="H193" s="75"/>
      <c r="I193" s="230"/>
      <c r="K193" s="201"/>
      <c r="V193" s="201"/>
    </row>
    <row r="194" spans="1:29" ht="14.5" thickBot="1" x14ac:dyDescent="0.35">
      <c r="A194" s="231" t="s">
        <v>85</v>
      </c>
      <c r="B194" s="353" t="s">
        <v>86</v>
      </c>
      <c r="C194" s="232"/>
      <c r="D194" s="232"/>
      <c r="E194" s="584" t="s">
        <v>87</v>
      </c>
      <c r="F194" s="584"/>
      <c r="G194" s="584"/>
      <c r="H194" s="584"/>
      <c r="I194" s="585"/>
    </row>
    <row r="195" spans="1:29" x14ac:dyDescent="0.3">
      <c r="A195" s="233"/>
      <c r="B195" s="234"/>
      <c r="C195" s="580" t="s">
        <v>182</v>
      </c>
      <c r="D195" s="581"/>
      <c r="E195" s="354">
        <v>0</v>
      </c>
      <c r="F195" s="354">
        <v>0</v>
      </c>
      <c r="G195" s="354">
        <v>0</v>
      </c>
      <c r="H195" s="354">
        <v>0</v>
      </c>
      <c r="I195" s="355">
        <v>0</v>
      </c>
    </row>
    <row r="196" spans="1:29" x14ac:dyDescent="0.3">
      <c r="A196" s="235"/>
      <c r="B196" s="236"/>
      <c r="C196" s="582" t="s">
        <v>101</v>
      </c>
      <c r="D196" s="583"/>
      <c r="E196" s="356">
        <v>0</v>
      </c>
      <c r="F196" s="356">
        <v>0</v>
      </c>
      <c r="G196" s="356">
        <v>0</v>
      </c>
      <c r="H196" s="356">
        <v>0</v>
      </c>
      <c r="I196" s="357">
        <v>0</v>
      </c>
    </row>
    <row r="197" spans="1:29" ht="34" customHeight="1" x14ac:dyDescent="0.3">
      <c r="A197" s="96"/>
      <c r="B197" s="237" t="s">
        <v>239</v>
      </c>
      <c r="C197" s="237" t="s">
        <v>225</v>
      </c>
      <c r="D197" s="237" t="s">
        <v>100</v>
      </c>
      <c r="E197" s="238" t="s">
        <v>88</v>
      </c>
      <c r="F197" s="238" t="s">
        <v>89</v>
      </c>
      <c r="G197" s="238" t="s">
        <v>90</v>
      </c>
      <c r="H197" s="238" t="s">
        <v>91</v>
      </c>
      <c r="I197" s="239" t="s">
        <v>92</v>
      </c>
    </row>
    <row r="198" spans="1:29" x14ac:dyDescent="0.3">
      <c r="A198" s="241" t="s">
        <v>93</v>
      </c>
      <c r="B198" s="185"/>
      <c r="C198" s="359"/>
      <c r="D198" s="242" t="s">
        <v>99</v>
      </c>
      <c r="E198" s="243">
        <f>C198*(E195+E196)</f>
        <v>0</v>
      </c>
      <c r="F198" s="243">
        <f>C198*(F195+F196)*(1+$B$3)</f>
        <v>0</v>
      </c>
      <c r="G198" s="243">
        <f>C198*(G195+G196)*(1+$B$3)^2</f>
        <v>0</v>
      </c>
      <c r="H198" s="243">
        <f>C198*(H195+H196)*(1+$B$3)^3</f>
        <v>0</v>
      </c>
      <c r="I198" s="244">
        <f>C198*(I195+I196)*(1+$B$3)^4</f>
        <v>0</v>
      </c>
    </row>
    <row r="199" spans="1:29" x14ac:dyDescent="0.3">
      <c r="A199" s="241" t="s">
        <v>97</v>
      </c>
      <c r="B199" s="358"/>
      <c r="C199" s="359"/>
      <c r="D199" s="242" t="s">
        <v>99</v>
      </c>
      <c r="E199" s="243">
        <f>((B199*C199)*(E195+E196))</f>
        <v>0</v>
      </c>
      <c r="F199" s="243">
        <f>((B199*C199)*(F195+F196)*(1+$B$3))</f>
        <v>0</v>
      </c>
      <c r="G199" s="243">
        <f>((B199*C199)*(G195+G196))*(1+$B$3)^2</f>
        <v>0</v>
      </c>
      <c r="H199" s="243">
        <f>((B199*C199)*(H195+H196))*(1+$B$3)^3</f>
        <v>0</v>
      </c>
      <c r="I199" s="244">
        <f>((B199*C199)*(I195+I196))*(1+$B$3)^4</f>
        <v>0</v>
      </c>
    </row>
    <row r="200" spans="1:29" x14ac:dyDescent="0.3">
      <c r="A200" s="241" t="s">
        <v>98</v>
      </c>
      <c r="B200" s="358"/>
      <c r="C200" s="359"/>
      <c r="D200" s="242" t="s">
        <v>99</v>
      </c>
      <c r="E200" s="243">
        <f>IF(B200=1,(E195+E196)*C200, IF(B200=0,0,((B200*C200-0.5*C200)*(E195+E196))))</f>
        <v>0</v>
      </c>
      <c r="F200" s="243">
        <f>IF(B200=1,(F195+F196)*C200*(1+$B$3), IF(B200=0,0,((B200*C200-0.5*C200)*(F195+F196))*(1+$B$3)))</f>
        <v>0</v>
      </c>
      <c r="G200" s="243">
        <f>IF(B200=1,(G195+G196)*C200*(1+$B$3)^2, IF(B200=0,0,((B200*C200-0.5*C200)*(G195+G196))*(1+$B$3)^2))</f>
        <v>0</v>
      </c>
      <c r="H200" s="243">
        <f>IF(B200=1,(H195+H196)*C200*(1+$B$3)^3, IF(B200=0,0,((B200*C200-0.5*C200)*(H195+H196))*(1+$B$3)^3))</f>
        <v>0</v>
      </c>
      <c r="I200" s="244">
        <f>IF(B200=1,(I195+I196)*C200*(1+$B$3)^4, IF(B200=0,0,((B200*C200-0.5*C200)*(I195+I196))*(1+$B$3)^4))</f>
        <v>0</v>
      </c>
    </row>
    <row r="201" spans="1:29" x14ac:dyDescent="0.3">
      <c r="A201" s="241" t="s">
        <v>94</v>
      </c>
      <c r="B201" s="358"/>
      <c r="C201" s="359"/>
      <c r="D201" s="242" t="s">
        <v>99</v>
      </c>
      <c r="E201" s="243">
        <f>C201*(E195+E196)*B201</f>
        <v>0</v>
      </c>
      <c r="F201" s="243">
        <f>C201*(F195+F196)*B201*(1+$B$3)</f>
        <v>0</v>
      </c>
      <c r="G201" s="243">
        <f>C201*(G195+G196)*B201*(1+$B$3)^2</f>
        <v>0</v>
      </c>
      <c r="H201" s="243">
        <f>C201*(H195+H196)*B201*(1+$B$3)^3</f>
        <v>0</v>
      </c>
      <c r="I201" s="244">
        <f>C201*(I195+I196)*B201*(1+$B$3)^4</f>
        <v>0</v>
      </c>
    </row>
    <row r="202" spans="1:29" x14ac:dyDescent="0.3">
      <c r="A202" s="241" t="s">
        <v>96</v>
      </c>
      <c r="B202" s="185"/>
      <c r="C202" s="359"/>
      <c r="D202" s="359"/>
      <c r="E202" s="243">
        <f>C202*E195+D202*E196</f>
        <v>0</v>
      </c>
      <c r="F202" s="243">
        <f>(C202*F195+D202*F196)*(1+$B$3)</f>
        <v>0</v>
      </c>
      <c r="G202" s="243">
        <f>(C202*G195+D202*G196)*(1+$B$3)^2</f>
        <v>0</v>
      </c>
      <c r="H202" s="243">
        <f>(C202*H195+D202*H196)*(1+$B$3)^3</f>
        <v>0</v>
      </c>
      <c r="I202" s="256">
        <f>(C202*I195+D202*I196)*(1+$B$3)^4</f>
        <v>0</v>
      </c>
      <c r="J202" s="225"/>
    </row>
    <row r="203" spans="1:29" ht="16.5" customHeight="1" x14ac:dyDescent="0.3">
      <c r="A203" s="360" t="s">
        <v>240</v>
      </c>
      <c r="B203" s="383" t="s">
        <v>242</v>
      </c>
      <c r="C203" s="290"/>
      <c r="D203" s="290"/>
      <c r="E203" s="362"/>
      <c r="F203" s="362"/>
      <c r="G203" s="362"/>
      <c r="H203" s="362"/>
      <c r="I203" s="363"/>
      <c r="J203" s="225"/>
      <c r="K203" s="175"/>
      <c r="M203" s="245"/>
      <c r="N203" s="246"/>
      <c r="O203" s="246"/>
      <c r="P203" s="246"/>
      <c r="Q203" s="246"/>
      <c r="R203" s="246"/>
      <c r="V203" s="175"/>
      <c r="X203" s="245"/>
      <c r="Y203" s="246"/>
      <c r="Z203" s="246"/>
      <c r="AA203" s="246"/>
      <c r="AB203" s="246"/>
      <c r="AC203" s="246"/>
    </row>
    <row r="204" spans="1:29" ht="14.5" thickBot="1" x14ac:dyDescent="0.35">
      <c r="A204" s="361" t="s">
        <v>171</v>
      </c>
      <c r="B204" s="384" t="s">
        <v>241</v>
      </c>
      <c r="C204" s="247"/>
      <c r="D204" s="247"/>
      <c r="E204" s="364"/>
      <c r="F204" s="364"/>
      <c r="G204" s="364"/>
      <c r="H204" s="364"/>
      <c r="I204" s="366"/>
      <c r="J204" s="225"/>
    </row>
    <row r="205" spans="1:29" ht="15" thickTop="1" thickBot="1" x14ac:dyDescent="0.35">
      <c r="A205" s="248" t="s">
        <v>95</v>
      </c>
      <c r="B205" s="249"/>
      <c r="C205" s="250"/>
      <c r="D205" s="250"/>
      <c r="E205" s="251">
        <f>SUM(E198:E204)</f>
        <v>0</v>
      </c>
      <c r="F205" s="251">
        <f>SUM(F198:F204)</f>
        <v>0</v>
      </c>
      <c r="G205" s="251">
        <f>SUM(G198:G204)</f>
        <v>0</v>
      </c>
      <c r="H205" s="251">
        <f>SUM(H198:H204)</f>
        <v>0</v>
      </c>
      <c r="I205" s="252">
        <f>SUM(I198:I204)</f>
        <v>0</v>
      </c>
    </row>
    <row r="206" spans="1:29" hidden="1" x14ac:dyDescent="0.3">
      <c r="A206" s="253"/>
      <c r="B206" s="253"/>
      <c r="C206" s="253"/>
      <c r="D206" s="253" t="s">
        <v>168</v>
      </c>
      <c r="E206" s="253">
        <f>IF(B193="Domestic",E205,0)</f>
        <v>0</v>
      </c>
      <c r="F206" s="253">
        <f>IF(B193="Domestic",F205,0)</f>
        <v>0</v>
      </c>
      <c r="G206" s="253">
        <f>IF(B193="Domestic",G205,0)</f>
        <v>0</v>
      </c>
      <c r="H206" s="253">
        <f>IF(B193="Domestic",H205,0)</f>
        <v>0</v>
      </c>
      <c r="I206" s="253">
        <f>IF(B193="Domestic",I205,0)</f>
        <v>0</v>
      </c>
      <c r="J206" s="225"/>
    </row>
    <row r="207" spans="1:29" hidden="1" x14ac:dyDescent="0.3">
      <c r="A207" s="253"/>
      <c r="B207" s="253"/>
      <c r="C207" s="253"/>
      <c r="D207" s="253" t="s">
        <v>169</v>
      </c>
      <c r="E207" s="253">
        <f>IF(B193="Domestic",0,E205)</f>
        <v>0</v>
      </c>
      <c r="F207" s="253">
        <f>IF(B193="Domestic",0,F205)</f>
        <v>0</v>
      </c>
      <c r="G207" s="253">
        <f>IF(B193="Domestic",0,G205)</f>
        <v>0</v>
      </c>
      <c r="H207" s="253">
        <f>IF(B193="Domestic",0,H205)</f>
        <v>0</v>
      </c>
      <c r="I207" s="253">
        <f>IF(B193="Domestic",0,I205)</f>
        <v>0</v>
      </c>
      <c r="J207" s="225"/>
    </row>
    <row r="208" spans="1:29" ht="14.5" thickBot="1" x14ac:dyDescent="0.35">
      <c r="A208" s="259"/>
      <c r="B208" s="260"/>
      <c r="C208" s="261"/>
      <c r="D208" s="261"/>
      <c r="E208" s="262"/>
      <c r="F208" s="262"/>
      <c r="G208" s="262"/>
      <c r="H208" s="262"/>
      <c r="I208" s="262"/>
      <c r="J208" s="225"/>
    </row>
    <row r="209" spans="1:29" x14ac:dyDescent="0.3">
      <c r="A209" s="226" t="s">
        <v>165</v>
      </c>
      <c r="B209" s="351" t="s">
        <v>84</v>
      </c>
      <c r="C209" s="395"/>
      <c r="D209" s="395"/>
      <c r="E209" s="227"/>
      <c r="F209" s="227"/>
      <c r="G209" s="227"/>
      <c r="H209" s="227"/>
      <c r="I209" s="228"/>
    </row>
    <row r="210" spans="1:29" ht="16.5" customHeight="1" x14ac:dyDescent="0.3">
      <c r="A210" s="229" t="s">
        <v>151</v>
      </c>
      <c r="B210" s="352" t="s">
        <v>170</v>
      </c>
      <c r="C210" s="75"/>
      <c r="D210" s="75"/>
      <c r="E210" s="75"/>
      <c r="F210" s="75"/>
      <c r="G210" s="75"/>
      <c r="H210" s="75"/>
      <c r="I210" s="230"/>
      <c r="K210" s="201"/>
      <c r="V210" s="201"/>
    </row>
    <row r="211" spans="1:29" ht="14.5" thickBot="1" x14ac:dyDescent="0.35">
      <c r="A211" s="231" t="s">
        <v>85</v>
      </c>
      <c r="B211" s="353" t="s">
        <v>86</v>
      </c>
      <c r="C211" s="232"/>
      <c r="D211" s="232"/>
      <c r="E211" s="584" t="s">
        <v>87</v>
      </c>
      <c r="F211" s="584"/>
      <c r="G211" s="584"/>
      <c r="H211" s="584"/>
      <c r="I211" s="585"/>
    </row>
    <row r="212" spans="1:29" x14ac:dyDescent="0.3">
      <c r="A212" s="233"/>
      <c r="B212" s="234"/>
      <c r="C212" s="580" t="s">
        <v>182</v>
      </c>
      <c r="D212" s="581"/>
      <c r="E212" s="354">
        <v>0</v>
      </c>
      <c r="F212" s="354">
        <v>0</v>
      </c>
      <c r="G212" s="354">
        <v>0</v>
      </c>
      <c r="H212" s="354">
        <v>0</v>
      </c>
      <c r="I212" s="355">
        <v>0</v>
      </c>
    </row>
    <row r="213" spans="1:29" x14ac:dyDescent="0.3">
      <c r="A213" s="235"/>
      <c r="B213" s="236"/>
      <c r="C213" s="582" t="s">
        <v>101</v>
      </c>
      <c r="D213" s="583"/>
      <c r="E213" s="356">
        <v>0</v>
      </c>
      <c r="F213" s="356">
        <v>0</v>
      </c>
      <c r="G213" s="356">
        <v>0</v>
      </c>
      <c r="H213" s="356">
        <v>0</v>
      </c>
      <c r="I213" s="357">
        <v>0</v>
      </c>
    </row>
    <row r="214" spans="1:29" ht="34" customHeight="1" x14ac:dyDescent="0.3">
      <c r="A214" s="96"/>
      <c r="B214" s="237" t="s">
        <v>239</v>
      </c>
      <c r="C214" s="237" t="s">
        <v>225</v>
      </c>
      <c r="D214" s="237" t="s">
        <v>100</v>
      </c>
      <c r="E214" s="238" t="s">
        <v>88</v>
      </c>
      <c r="F214" s="238" t="s">
        <v>89</v>
      </c>
      <c r="G214" s="238" t="s">
        <v>90</v>
      </c>
      <c r="H214" s="238" t="s">
        <v>91</v>
      </c>
      <c r="I214" s="239" t="s">
        <v>92</v>
      </c>
    </row>
    <row r="215" spans="1:29" x14ac:dyDescent="0.3">
      <c r="A215" s="241" t="s">
        <v>93</v>
      </c>
      <c r="B215" s="185"/>
      <c r="C215" s="359"/>
      <c r="D215" s="242" t="s">
        <v>99</v>
      </c>
      <c r="E215" s="243">
        <f>C215*(E212+E213)</f>
        <v>0</v>
      </c>
      <c r="F215" s="243">
        <f>C215*(F212+F213)*(1+$B$3)</f>
        <v>0</v>
      </c>
      <c r="G215" s="243">
        <f>C215*(G212+G213)*(1+$B$3)^2</f>
        <v>0</v>
      </c>
      <c r="H215" s="243">
        <f>C215*(H212+H213)*(1+$B$3)^3</f>
        <v>0</v>
      </c>
      <c r="I215" s="244">
        <f>C215*(I212+I213)*(1+$B$3)^4</f>
        <v>0</v>
      </c>
    </row>
    <row r="216" spans="1:29" x14ac:dyDescent="0.3">
      <c r="A216" s="241" t="s">
        <v>97</v>
      </c>
      <c r="B216" s="358"/>
      <c r="C216" s="359"/>
      <c r="D216" s="242" t="s">
        <v>99</v>
      </c>
      <c r="E216" s="243">
        <f>((B216*C216)*(E212+E213))</f>
        <v>0</v>
      </c>
      <c r="F216" s="243">
        <f>((B216*C216)*(F212+F213)*(1+$B$3))</f>
        <v>0</v>
      </c>
      <c r="G216" s="243">
        <f>((B216*C216)*(G212+G213))*(1+$B$3)^2</f>
        <v>0</v>
      </c>
      <c r="H216" s="243">
        <f>((B216*C216)*(H212+H213))*(1+$B$3)^3</f>
        <v>0</v>
      </c>
      <c r="I216" s="244">
        <f>((B216*C216)*(I212+I213))*(1+$B$3)^4</f>
        <v>0</v>
      </c>
    </row>
    <row r="217" spans="1:29" x14ac:dyDescent="0.3">
      <c r="A217" s="241" t="s">
        <v>98</v>
      </c>
      <c r="B217" s="358"/>
      <c r="C217" s="359"/>
      <c r="D217" s="242" t="s">
        <v>99</v>
      </c>
      <c r="E217" s="243">
        <f>IF(B217=1,(E212+E213)*C217, IF(B217=0,0,((B217*C217-0.5*C217)*(E212+E213))))</f>
        <v>0</v>
      </c>
      <c r="F217" s="243">
        <f>IF(B217=1,(F212+F213)*C217*(1+$B$3), IF(B217=0,0,((B217*C217-0.5*C217)*(F212+F213))*(1+$B$3)))</f>
        <v>0</v>
      </c>
      <c r="G217" s="243">
        <f>IF(B217=1,(G212+G213)*C217*(1+$B$3)^2, IF(B217=0,0,((B217*C217-0.5*C217)*(G212+G213))*(1+$B$3)^2))</f>
        <v>0</v>
      </c>
      <c r="H217" s="243">
        <f>IF(B217=1,(H212+H213)*C217*(1+$B$3)^3, IF(B217=0,0,((B217*C217-0.5*C217)*(H212+H213))*(1+$B$3)^3))</f>
        <v>0</v>
      </c>
      <c r="I217" s="244">
        <f>IF(B217=1,(I212+I213)*C217*(1+$B$3)^4, IF(B217=0,0,((B217*C217-0.5*C217)*(I212+I213))*(1+$B$3)^4))</f>
        <v>0</v>
      </c>
    </row>
    <row r="218" spans="1:29" x14ac:dyDescent="0.3">
      <c r="A218" s="241" t="s">
        <v>94</v>
      </c>
      <c r="B218" s="358"/>
      <c r="C218" s="359"/>
      <c r="D218" s="242" t="s">
        <v>99</v>
      </c>
      <c r="E218" s="243">
        <f>C218*(E212+E213)*B218</f>
        <v>0</v>
      </c>
      <c r="F218" s="243">
        <f>C218*(F212+F213)*B218*(1+$B$3)</f>
        <v>0</v>
      </c>
      <c r="G218" s="243">
        <f>C218*(G212+G213)*B218*(1+$B$3)^2</f>
        <v>0</v>
      </c>
      <c r="H218" s="243">
        <f>C218*(H212+H213)*B218*(1+$B$3)^3</f>
        <v>0</v>
      </c>
      <c r="I218" s="244">
        <f>C218*(I212+I213)*B218*(1+$B$3)^4</f>
        <v>0</v>
      </c>
    </row>
    <row r="219" spans="1:29" x14ac:dyDescent="0.3">
      <c r="A219" s="241" t="s">
        <v>96</v>
      </c>
      <c r="B219" s="185"/>
      <c r="C219" s="359"/>
      <c r="D219" s="359"/>
      <c r="E219" s="243">
        <f>C219*E212+D219*E213</f>
        <v>0</v>
      </c>
      <c r="F219" s="243">
        <f>(C219*F212+D219*F213)*(1+$B$3)</f>
        <v>0</v>
      </c>
      <c r="G219" s="243">
        <f>(C219*G212+D219*G213)*(1+$B$3)^2</f>
        <v>0</v>
      </c>
      <c r="H219" s="243">
        <f>(C219*H212+D219*H213)*(1+$B$3)^3</f>
        <v>0</v>
      </c>
      <c r="I219" s="256">
        <f>(C219*I212+D219*I213)*(1+$B$3)^4</f>
        <v>0</v>
      </c>
      <c r="J219" s="225"/>
    </row>
    <row r="220" spans="1:29" ht="16.5" customHeight="1" x14ac:dyDescent="0.3">
      <c r="A220" s="360" t="s">
        <v>240</v>
      </c>
      <c r="B220" s="383" t="s">
        <v>242</v>
      </c>
      <c r="C220" s="290"/>
      <c r="D220" s="290"/>
      <c r="E220" s="362"/>
      <c r="F220" s="362"/>
      <c r="G220" s="362"/>
      <c r="H220" s="362"/>
      <c r="I220" s="363"/>
      <c r="J220" s="225"/>
      <c r="K220" s="175"/>
      <c r="M220" s="245"/>
      <c r="N220" s="246"/>
      <c r="O220" s="246"/>
      <c r="P220" s="246"/>
      <c r="Q220" s="246"/>
      <c r="R220" s="246"/>
      <c r="V220" s="175"/>
      <c r="X220" s="245"/>
      <c r="Y220" s="246"/>
      <c r="Z220" s="246"/>
      <c r="AA220" s="246"/>
      <c r="AB220" s="246"/>
      <c r="AC220" s="246"/>
    </row>
    <row r="221" spans="1:29" ht="14.5" thickBot="1" x14ac:dyDescent="0.35">
      <c r="A221" s="361" t="s">
        <v>171</v>
      </c>
      <c r="B221" s="384" t="s">
        <v>241</v>
      </c>
      <c r="C221" s="247"/>
      <c r="D221" s="247"/>
      <c r="E221" s="364"/>
      <c r="F221" s="364"/>
      <c r="G221" s="364"/>
      <c r="H221" s="364"/>
      <c r="I221" s="364"/>
      <c r="J221" s="225"/>
    </row>
    <row r="222" spans="1:29" ht="15" thickTop="1" thickBot="1" x14ac:dyDescent="0.35">
      <c r="A222" s="248" t="s">
        <v>95</v>
      </c>
      <c r="B222" s="249"/>
      <c r="C222" s="250"/>
      <c r="D222" s="250"/>
      <c r="E222" s="251">
        <f>SUM(E215:E221)</f>
        <v>0</v>
      </c>
      <c r="F222" s="251">
        <f>SUM(F215:F221)</f>
        <v>0</v>
      </c>
      <c r="G222" s="251">
        <f>SUM(G215:G221)</f>
        <v>0</v>
      </c>
      <c r="H222" s="251">
        <f>SUM(H215:H221)</f>
        <v>0</v>
      </c>
      <c r="I222" s="252">
        <f>SUM(I215:I221)</f>
        <v>0</v>
      </c>
    </row>
    <row r="223" spans="1:29" hidden="1" x14ac:dyDescent="0.3">
      <c r="A223" s="253"/>
      <c r="B223" s="253"/>
      <c r="C223" s="253"/>
      <c r="D223" s="253" t="s">
        <v>168</v>
      </c>
      <c r="E223" s="253">
        <f>IF(B210="Domestic",E222,0)</f>
        <v>0</v>
      </c>
      <c r="F223" s="253">
        <f>IF(B210="Domestic",F222,0)</f>
        <v>0</v>
      </c>
      <c r="G223" s="253">
        <f>IF(B210="Domestic",G222,0)</f>
        <v>0</v>
      </c>
      <c r="H223" s="253">
        <f>IF(B210="Domestic",H222,0)</f>
        <v>0</v>
      </c>
      <c r="I223" s="253">
        <f>IF(B210="Domestic",I222,0)</f>
        <v>0</v>
      </c>
      <c r="J223" s="225"/>
    </row>
    <row r="224" spans="1:29" hidden="1" x14ac:dyDescent="0.3">
      <c r="A224" s="253"/>
      <c r="B224" s="253"/>
      <c r="C224" s="253"/>
      <c r="D224" s="253" t="s">
        <v>169</v>
      </c>
      <c r="E224" s="253">
        <f>IF(B210="Domestic",0,E222)</f>
        <v>0</v>
      </c>
      <c r="F224" s="253">
        <f>IF(B210="Domestic",0,F222)</f>
        <v>0</v>
      </c>
      <c r="G224" s="253">
        <f>IF(B210="Domestic",0,G222)</f>
        <v>0</v>
      </c>
      <c r="H224" s="253">
        <f>IF(B210="Domestic",0,H222)</f>
        <v>0</v>
      </c>
      <c r="I224" s="253">
        <f>IF(B210="Domestic",0,I222)</f>
        <v>0</v>
      </c>
      <c r="J224" s="225"/>
    </row>
    <row r="225" spans="1:29" ht="14.5" thickBot="1" x14ac:dyDescent="0.35">
      <c r="A225" s="259"/>
      <c r="B225" s="260"/>
      <c r="C225" s="261"/>
      <c r="D225" s="261"/>
      <c r="E225" s="262"/>
      <c r="F225" s="262"/>
      <c r="G225" s="262"/>
      <c r="H225" s="262"/>
      <c r="I225" s="262"/>
      <c r="J225" s="225"/>
    </row>
    <row r="226" spans="1:29" x14ac:dyDescent="0.3">
      <c r="A226" s="226" t="s">
        <v>166</v>
      </c>
      <c r="B226" s="351" t="s">
        <v>84</v>
      </c>
      <c r="C226" s="395"/>
      <c r="D226" s="395"/>
      <c r="E226" s="227"/>
      <c r="F226" s="227"/>
      <c r="G226" s="227"/>
      <c r="H226" s="227"/>
      <c r="I226" s="228"/>
    </row>
    <row r="227" spans="1:29" ht="16.5" customHeight="1" x14ac:dyDescent="0.3">
      <c r="A227" s="229" t="s">
        <v>151</v>
      </c>
      <c r="B227" s="352" t="s">
        <v>170</v>
      </c>
      <c r="C227" s="75"/>
      <c r="D227" s="75"/>
      <c r="E227" s="75"/>
      <c r="F227" s="75"/>
      <c r="G227" s="75"/>
      <c r="H227" s="75"/>
      <c r="I227" s="230"/>
      <c r="K227" s="201"/>
      <c r="V227" s="201"/>
    </row>
    <row r="228" spans="1:29" ht="14.5" thickBot="1" x14ac:dyDescent="0.35">
      <c r="A228" s="231" t="s">
        <v>85</v>
      </c>
      <c r="B228" s="353" t="s">
        <v>86</v>
      </c>
      <c r="C228" s="232"/>
      <c r="D228" s="232"/>
      <c r="E228" s="584" t="s">
        <v>87</v>
      </c>
      <c r="F228" s="584"/>
      <c r="G228" s="584"/>
      <c r="H228" s="584"/>
      <c r="I228" s="585"/>
    </row>
    <row r="229" spans="1:29" x14ac:dyDescent="0.3">
      <c r="A229" s="233"/>
      <c r="B229" s="234"/>
      <c r="C229" s="580" t="s">
        <v>182</v>
      </c>
      <c r="D229" s="581"/>
      <c r="E229" s="354">
        <v>0</v>
      </c>
      <c r="F229" s="354">
        <v>0</v>
      </c>
      <c r="G229" s="354">
        <v>0</v>
      </c>
      <c r="H229" s="354">
        <v>0</v>
      </c>
      <c r="I229" s="355">
        <v>0</v>
      </c>
    </row>
    <row r="230" spans="1:29" x14ac:dyDescent="0.3">
      <c r="A230" s="235"/>
      <c r="B230" s="236"/>
      <c r="C230" s="582" t="s">
        <v>101</v>
      </c>
      <c r="D230" s="583"/>
      <c r="E230" s="356">
        <v>0</v>
      </c>
      <c r="F230" s="356">
        <v>0</v>
      </c>
      <c r="G230" s="356">
        <v>0</v>
      </c>
      <c r="H230" s="356">
        <v>0</v>
      </c>
      <c r="I230" s="357">
        <v>0</v>
      </c>
    </row>
    <row r="231" spans="1:29" ht="34" customHeight="1" x14ac:dyDescent="0.3">
      <c r="A231" s="96"/>
      <c r="B231" s="237" t="s">
        <v>239</v>
      </c>
      <c r="C231" s="237" t="s">
        <v>225</v>
      </c>
      <c r="D231" s="237" t="s">
        <v>100</v>
      </c>
      <c r="E231" s="238" t="s">
        <v>88</v>
      </c>
      <c r="F231" s="238" t="s">
        <v>89</v>
      </c>
      <c r="G231" s="238" t="s">
        <v>90</v>
      </c>
      <c r="H231" s="238" t="s">
        <v>91</v>
      </c>
      <c r="I231" s="239" t="s">
        <v>92</v>
      </c>
    </row>
    <row r="232" spans="1:29" x14ac:dyDescent="0.3">
      <c r="A232" s="241" t="s">
        <v>93</v>
      </c>
      <c r="B232" s="185"/>
      <c r="C232" s="359"/>
      <c r="D232" s="242" t="s">
        <v>99</v>
      </c>
      <c r="E232" s="243">
        <f>C232*(E229+E230)</f>
        <v>0</v>
      </c>
      <c r="F232" s="243">
        <f>C232*(F229+F230)*(1+$B$3)</f>
        <v>0</v>
      </c>
      <c r="G232" s="243">
        <f>C232*(G229+G230)*(1+$B$3)^2</f>
        <v>0</v>
      </c>
      <c r="H232" s="243">
        <f>C232*(H229+H230)*(1+$B$3)^3</f>
        <v>0</v>
      </c>
      <c r="I232" s="244">
        <f>C232*(I229+I230)*(1+$B$3)^4</f>
        <v>0</v>
      </c>
    </row>
    <row r="233" spans="1:29" x14ac:dyDescent="0.3">
      <c r="A233" s="241" t="s">
        <v>97</v>
      </c>
      <c r="B233" s="358"/>
      <c r="C233" s="359"/>
      <c r="D233" s="242" t="s">
        <v>99</v>
      </c>
      <c r="E233" s="243">
        <f>((B233*C233)*(E229+E230))</f>
        <v>0</v>
      </c>
      <c r="F233" s="243">
        <f>((B233*C233)*(F229+F230)*(1+$B$3))</f>
        <v>0</v>
      </c>
      <c r="G233" s="243">
        <f>((B233*C233)*(G229+G230))*(1+$B$3)^2</f>
        <v>0</v>
      </c>
      <c r="H233" s="243">
        <f>((B233*C233)*(H229+H230))*(1+$B$3)^3</f>
        <v>0</v>
      </c>
      <c r="I233" s="244">
        <f>((B233*C233)*(I229+I230))*(1+$B$3)^4</f>
        <v>0</v>
      </c>
    </row>
    <row r="234" spans="1:29" x14ac:dyDescent="0.3">
      <c r="A234" s="241" t="s">
        <v>98</v>
      </c>
      <c r="B234" s="358"/>
      <c r="C234" s="359"/>
      <c r="D234" s="242" t="s">
        <v>99</v>
      </c>
      <c r="E234" s="243">
        <f>IF(B234=1,(E229+E230)*C234, IF(B234=0,0,((B234*C234-0.5*C234)*(E229+E230))))</f>
        <v>0</v>
      </c>
      <c r="F234" s="243">
        <f>IF(B234=1,(F229+F230)*C234*(1+$B$3), IF(B234=0,0,((B234*C234-0.5*C234)*(F229+F230))*(1+$B$3)))</f>
        <v>0</v>
      </c>
      <c r="G234" s="243">
        <f>IF(B234=1,(G229+G230)*C234*(1+$B$3)^2, IF(B234=0,0,((B234*C234-0.5*C234)*(G229+G230))*(1+$B$3)^2))</f>
        <v>0</v>
      </c>
      <c r="H234" s="243">
        <f>IF(B234=1,(H229+H230)*C234*(1+$B$3)^3, IF(B234=0,0,((B234*C234-0.5*C234)*(H229+H230))*(1+$B$3)^3))</f>
        <v>0</v>
      </c>
      <c r="I234" s="244">
        <f>IF(B234=1,(I229+I230)*C234*(1+$B$3)^4, IF(B234=0,0,((B234*C234-0.5*C234)*(I229+I230))*(1+$B$3)^4))</f>
        <v>0</v>
      </c>
    </row>
    <row r="235" spans="1:29" x14ac:dyDescent="0.3">
      <c r="A235" s="241" t="s">
        <v>94</v>
      </c>
      <c r="B235" s="358"/>
      <c r="C235" s="359"/>
      <c r="D235" s="242" t="s">
        <v>99</v>
      </c>
      <c r="E235" s="243">
        <f>C235*(E229+E230)*B235</f>
        <v>0</v>
      </c>
      <c r="F235" s="243">
        <f>C235*(F229+F230)*B235*(1+$B$3)</f>
        <v>0</v>
      </c>
      <c r="G235" s="243">
        <f>C235*(G229+G230)*B235*(1+$B$3)^2</f>
        <v>0</v>
      </c>
      <c r="H235" s="243">
        <f>C235*(H229+H230)*B235*(1+$B$3)^3</f>
        <v>0</v>
      </c>
      <c r="I235" s="244">
        <f>C235*(I229+I230)*B235*(1+$B$3)^4</f>
        <v>0</v>
      </c>
    </row>
    <row r="236" spans="1:29" x14ac:dyDescent="0.3">
      <c r="A236" s="241" t="s">
        <v>96</v>
      </c>
      <c r="B236" s="185"/>
      <c r="C236" s="359"/>
      <c r="D236" s="359"/>
      <c r="E236" s="243">
        <f>C236*E229+D236*E230</f>
        <v>0</v>
      </c>
      <c r="F236" s="243">
        <f>(C236*F229+D236*F230)*(1+$B$3)</f>
        <v>0</v>
      </c>
      <c r="G236" s="243">
        <f>(C236*G229+D236*G230)*(1+$B$3)^2</f>
        <v>0</v>
      </c>
      <c r="H236" s="243">
        <f>(C236*H229+D236*H230)*(1+$B$3)^3</f>
        <v>0</v>
      </c>
      <c r="I236" s="256">
        <f>(C236*I229+D236*I230)*(1+$B$3)^4</f>
        <v>0</v>
      </c>
      <c r="J236" s="225"/>
    </row>
    <row r="237" spans="1:29" ht="16.5" customHeight="1" x14ac:dyDescent="0.3">
      <c r="A237" s="360" t="s">
        <v>240</v>
      </c>
      <c r="B237" s="383" t="s">
        <v>242</v>
      </c>
      <c r="C237" s="290"/>
      <c r="D237" s="290"/>
      <c r="E237" s="362"/>
      <c r="F237" s="362"/>
      <c r="G237" s="362"/>
      <c r="H237" s="362"/>
      <c r="I237" s="363"/>
      <c r="J237" s="225"/>
      <c r="K237" s="175"/>
      <c r="M237" s="245"/>
      <c r="N237" s="246"/>
      <c r="O237" s="246"/>
      <c r="P237" s="246"/>
      <c r="Q237" s="246"/>
      <c r="R237" s="246"/>
      <c r="V237" s="175"/>
      <c r="X237" s="245"/>
      <c r="Y237" s="246"/>
      <c r="Z237" s="246"/>
      <c r="AA237" s="246"/>
      <c r="AB237" s="246"/>
      <c r="AC237" s="246"/>
    </row>
    <row r="238" spans="1:29" ht="14.5" thickBot="1" x14ac:dyDescent="0.35">
      <c r="A238" s="361" t="s">
        <v>171</v>
      </c>
      <c r="B238" s="384" t="s">
        <v>241</v>
      </c>
      <c r="C238" s="247"/>
      <c r="D238" s="247"/>
      <c r="E238" s="364"/>
      <c r="F238" s="364"/>
      <c r="G238" s="364"/>
      <c r="H238" s="364"/>
      <c r="I238" s="364"/>
      <c r="J238" s="225"/>
    </row>
    <row r="239" spans="1:29" ht="15" thickTop="1" thickBot="1" x14ac:dyDescent="0.35">
      <c r="A239" s="248" t="s">
        <v>95</v>
      </c>
      <c r="B239" s="249"/>
      <c r="C239" s="250"/>
      <c r="D239" s="250"/>
      <c r="E239" s="251">
        <f>SUM(E232:E238)</f>
        <v>0</v>
      </c>
      <c r="F239" s="251">
        <f>SUM(F232:F238)</f>
        <v>0</v>
      </c>
      <c r="G239" s="251">
        <f>SUM(G232:G238)</f>
        <v>0</v>
      </c>
      <c r="H239" s="251">
        <f>SUM(H232:H238)</f>
        <v>0</v>
      </c>
      <c r="I239" s="252">
        <f>SUM(I232:I238)</f>
        <v>0</v>
      </c>
    </row>
    <row r="240" spans="1:29" hidden="1" x14ac:dyDescent="0.3">
      <c r="A240" s="253"/>
      <c r="B240" s="253"/>
      <c r="C240" s="253"/>
      <c r="D240" s="253" t="s">
        <v>168</v>
      </c>
      <c r="E240" s="253">
        <f>IF(B227="Domestic",E239,0)</f>
        <v>0</v>
      </c>
      <c r="F240" s="253">
        <f>IF(B227="Domestic",F239,0)</f>
        <v>0</v>
      </c>
      <c r="G240" s="253">
        <f>IF(B227="Domestic",G239,0)</f>
        <v>0</v>
      </c>
      <c r="H240" s="253">
        <f>IF(B227="Domestic",H239,0)</f>
        <v>0</v>
      </c>
      <c r="I240" s="253">
        <f>IF(B227="Domestic",I239,0)</f>
        <v>0</v>
      </c>
      <c r="J240" s="225"/>
    </row>
    <row r="241" spans="1:30" hidden="1" x14ac:dyDescent="0.3">
      <c r="A241" s="253"/>
      <c r="B241" s="253"/>
      <c r="C241" s="253"/>
      <c r="D241" s="253" t="s">
        <v>169</v>
      </c>
      <c r="E241" s="253">
        <f>IF(B227="Domestic",0,E239)</f>
        <v>0</v>
      </c>
      <c r="F241" s="253">
        <f>IF(B227="Domestic",0,F239)</f>
        <v>0</v>
      </c>
      <c r="G241" s="253">
        <f>IF(B227="Domestic",0,G239)</f>
        <v>0</v>
      </c>
      <c r="H241" s="253">
        <f>IF(B227="Domestic",0,H239)</f>
        <v>0</v>
      </c>
      <c r="I241" s="253">
        <f>IF(B227="Domestic",0,I239)</f>
        <v>0</v>
      </c>
      <c r="J241" s="225"/>
    </row>
    <row r="242" spans="1:30" x14ac:dyDescent="0.3">
      <c r="A242" s="253"/>
      <c r="B242" s="253"/>
      <c r="C242" s="253"/>
      <c r="D242" s="253"/>
      <c r="E242" s="253"/>
      <c r="F242" s="253"/>
      <c r="G242" s="253"/>
      <c r="H242" s="253"/>
      <c r="I242" s="253"/>
      <c r="J242" s="225"/>
    </row>
    <row r="243" spans="1:30" ht="14.5" thickBot="1" x14ac:dyDescent="0.35">
      <c r="A243" s="589" t="s">
        <v>82</v>
      </c>
      <c r="B243" s="590"/>
      <c r="C243" s="591"/>
      <c r="D243" s="264"/>
      <c r="E243" s="265">
        <f t="shared" ref="E243:I244" si="0">SUM(E19,E36,E53,E70,E87,E104,E121,E138,E155,E172,E189,E206,E223,E240)</f>
        <v>0</v>
      </c>
      <c r="F243" s="265">
        <f t="shared" si="0"/>
        <v>0</v>
      </c>
      <c r="G243" s="265">
        <f t="shared" si="0"/>
        <v>0</v>
      </c>
      <c r="H243" s="265">
        <f t="shared" si="0"/>
        <v>0</v>
      </c>
      <c r="I243" s="265">
        <f t="shared" si="0"/>
        <v>0</v>
      </c>
      <c r="J243" s="225"/>
      <c r="K243" s="587"/>
      <c r="L243" s="587"/>
      <c r="M243" s="587"/>
      <c r="N243" s="211"/>
      <c r="O243" s="211"/>
      <c r="P243" s="211"/>
      <c r="Q243" s="211"/>
      <c r="R243" s="211"/>
      <c r="S243" s="211"/>
      <c r="T243" s="211"/>
      <c r="U243" s="211"/>
      <c r="V243" s="588"/>
      <c r="W243" s="588"/>
      <c r="X243" s="588"/>
      <c r="Y243" s="211"/>
      <c r="Z243" s="211"/>
      <c r="AA243" s="211"/>
      <c r="AB243" s="211"/>
      <c r="AC243" s="211"/>
      <c r="AD243" s="75"/>
    </row>
    <row r="244" spans="1:30" ht="14.5" thickBot="1" x14ac:dyDescent="0.35">
      <c r="A244" s="577" t="s">
        <v>83</v>
      </c>
      <c r="B244" s="578"/>
      <c r="C244" s="579"/>
      <c r="D244" s="266"/>
      <c r="E244" s="267">
        <f t="shared" si="0"/>
        <v>0</v>
      </c>
      <c r="F244" s="267">
        <f t="shared" si="0"/>
        <v>0</v>
      </c>
      <c r="G244" s="267">
        <f t="shared" si="0"/>
        <v>0</v>
      </c>
      <c r="H244" s="267">
        <f t="shared" si="0"/>
        <v>0</v>
      </c>
      <c r="I244" s="268">
        <f t="shared" si="0"/>
        <v>0</v>
      </c>
      <c r="J244" s="225"/>
    </row>
    <row r="245" spans="1:30" x14ac:dyDescent="0.3">
      <c r="A245" s="269"/>
      <c r="B245" s="269"/>
      <c r="C245" s="269"/>
      <c r="D245" s="270"/>
      <c r="E245" s="271"/>
      <c r="F245" s="271"/>
      <c r="G245" s="269"/>
      <c r="H245" s="269"/>
      <c r="I245" s="271"/>
    </row>
    <row r="246" spans="1:30" x14ac:dyDescent="0.3">
      <c r="B246" s="75"/>
      <c r="C246" s="75"/>
      <c r="D246" s="75"/>
      <c r="E246" s="75"/>
      <c r="F246" s="211"/>
      <c r="G246" s="211"/>
      <c r="H246" s="211"/>
      <c r="I246" s="211"/>
    </row>
    <row r="247" spans="1:30" x14ac:dyDescent="0.3">
      <c r="A247" s="175"/>
      <c r="B247" s="175"/>
      <c r="C247" s="175"/>
      <c r="D247" s="75"/>
      <c r="E247" s="75"/>
      <c r="F247" s="75"/>
      <c r="G247" s="211"/>
      <c r="H247" s="211"/>
      <c r="I247" s="211"/>
    </row>
    <row r="248" spans="1:30" x14ac:dyDescent="0.3">
      <c r="A248" s="75"/>
      <c r="B248" s="369"/>
      <c r="C248" s="75"/>
      <c r="D248" s="75"/>
      <c r="E248" s="75"/>
      <c r="F248" s="75"/>
      <c r="G248" s="211"/>
      <c r="H248" s="211"/>
      <c r="I248" s="211"/>
    </row>
    <row r="249" spans="1:30" x14ac:dyDescent="0.3">
      <c r="A249" s="75"/>
      <c r="B249" s="369"/>
      <c r="C249" s="75"/>
      <c r="D249" s="75"/>
      <c r="E249" s="75"/>
      <c r="F249" s="75"/>
      <c r="G249" s="211"/>
      <c r="H249" s="211"/>
      <c r="I249" s="211"/>
    </row>
    <row r="250" spans="1:30" x14ac:dyDescent="0.3">
      <c r="A250" s="75"/>
      <c r="B250" s="369"/>
      <c r="C250" s="211"/>
      <c r="D250" s="272"/>
      <c r="F250" s="75"/>
      <c r="G250" s="211"/>
      <c r="H250" s="211"/>
      <c r="I250" s="211"/>
    </row>
    <row r="251" spans="1:30" x14ac:dyDescent="0.3">
      <c r="A251" s="75"/>
      <c r="B251" s="369"/>
      <c r="C251" s="211"/>
      <c r="D251" s="75"/>
      <c r="E251" s="75"/>
      <c r="F251" s="75"/>
      <c r="G251" s="211"/>
      <c r="H251" s="211"/>
      <c r="I251" s="211"/>
    </row>
    <row r="252" spans="1:30" x14ac:dyDescent="0.3">
      <c r="A252" s="75"/>
      <c r="B252" s="369"/>
      <c r="C252" s="75"/>
      <c r="D252" s="75"/>
      <c r="E252" s="75"/>
      <c r="F252" s="75"/>
      <c r="G252" s="211"/>
      <c r="H252" s="211"/>
      <c r="I252" s="211"/>
    </row>
    <row r="253" spans="1:30" x14ac:dyDescent="0.3">
      <c r="A253" s="75"/>
      <c r="B253" s="75"/>
      <c r="C253" s="75"/>
      <c r="D253" s="75"/>
      <c r="E253" s="75"/>
      <c r="F253" s="211"/>
      <c r="G253" s="211"/>
      <c r="H253" s="211"/>
      <c r="I253" s="211"/>
    </row>
    <row r="254" spans="1:30" x14ac:dyDescent="0.3">
      <c r="A254" s="211"/>
      <c r="B254" s="75"/>
      <c r="C254" s="272"/>
      <c r="E254" s="75"/>
      <c r="F254" s="211"/>
      <c r="G254" s="211"/>
      <c r="H254" s="211"/>
      <c r="I254" s="211"/>
    </row>
    <row r="255" spans="1:30" x14ac:dyDescent="0.3">
      <c r="B255" s="75"/>
      <c r="C255" s="75"/>
      <c r="D255" s="75"/>
      <c r="E255" s="75"/>
      <c r="F255" s="75"/>
      <c r="G255" s="75"/>
      <c r="H255" s="75"/>
      <c r="I255" s="75"/>
    </row>
    <row r="256" spans="1:30" x14ac:dyDescent="0.3">
      <c r="B256" s="75"/>
      <c r="C256" s="75"/>
      <c r="D256" s="75"/>
      <c r="E256" s="75"/>
      <c r="F256" s="75"/>
      <c r="G256" s="75"/>
      <c r="H256" s="75"/>
      <c r="I256" s="75"/>
    </row>
    <row r="257" spans="1:9" x14ac:dyDescent="0.3">
      <c r="A257" s="75"/>
      <c r="B257" s="75"/>
      <c r="C257" s="75"/>
      <c r="D257" s="75"/>
      <c r="E257" s="75"/>
      <c r="F257" s="75"/>
      <c r="G257" s="75"/>
      <c r="H257" s="75"/>
      <c r="I257" s="75"/>
    </row>
    <row r="258" spans="1:9" x14ac:dyDescent="0.3">
      <c r="B258" s="75"/>
      <c r="C258" s="75"/>
      <c r="D258" s="75"/>
      <c r="E258" s="75"/>
      <c r="F258" s="75"/>
      <c r="G258" s="75"/>
      <c r="H258" s="75"/>
      <c r="I258" s="75"/>
    </row>
    <row r="259" spans="1:9" x14ac:dyDescent="0.3">
      <c r="A259" s="211"/>
      <c r="B259" s="75"/>
      <c r="C259" s="75"/>
      <c r="D259" s="75"/>
      <c r="E259" s="75"/>
      <c r="F259" s="75"/>
      <c r="G259" s="75"/>
      <c r="H259" s="75"/>
      <c r="I259" s="75"/>
    </row>
    <row r="260" spans="1:9" x14ac:dyDescent="0.3">
      <c r="A260" s="75"/>
      <c r="B260" s="75"/>
      <c r="C260" s="75"/>
      <c r="D260" s="75"/>
      <c r="E260" s="75"/>
      <c r="F260" s="75"/>
      <c r="G260" s="75"/>
      <c r="H260" s="75"/>
      <c r="I260" s="75"/>
    </row>
    <row r="261" spans="1:9" x14ac:dyDescent="0.3">
      <c r="B261" s="75"/>
      <c r="C261" s="75"/>
      <c r="D261" s="75"/>
      <c r="E261" s="75"/>
      <c r="F261" s="75"/>
      <c r="G261" s="75"/>
      <c r="H261" s="75"/>
      <c r="I261" s="75"/>
    </row>
    <row r="262" spans="1:9" x14ac:dyDescent="0.3">
      <c r="A262" s="75"/>
    </row>
  </sheetData>
  <sheetProtection algorithmName="SHA-512" hashValue="1eHnLK31JplMTQ8rEeXIKG/7EupbrZhXmk4r09GOtfn2SqkRjsRNR5wsgEEEZEA5j1y/Whcx5ZX70x7NQ3cHZQ==" saltValue="T6hznsBPe+emBoN1xJ4hdA==" spinCount="100000" sheet="1" objects="1" scenarios="1"/>
  <mergeCells count="50">
    <mergeCell ref="C145:D145"/>
    <mergeCell ref="C127:D127"/>
    <mergeCell ref="C128:D128"/>
    <mergeCell ref="E143:I143"/>
    <mergeCell ref="C110:D110"/>
    <mergeCell ref="C111:D111"/>
    <mergeCell ref="E126:I126"/>
    <mergeCell ref="C26:D26"/>
    <mergeCell ref="C42:D42"/>
    <mergeCell ref="C43:D43"/>
    <mergeCell ref="C59:D59"/>
    <mergeCell ref="C60:D60"/>
    <mergeCell ref="E58:I58"/>
    <mergeCell ref="E109:I109"/>
    <mergeCell ref="C144:D144"/>
    <mergeCell ref="E75:I75"/>
    <mergeCell ref="E92:I92"/>
    <mergeCell ref="C76:D76"/>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s>
  <dataValidations disablePrompts="1"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J23" sqref="J23"/>
    </sheetView>
  </sheetViews>
  <sheetFormatPr defaultColWidth="12.58203125" defaultRowHeight="15" customHeight="1" x14ac:dyDescent="0.3"/>
  <cols>
    <col min="1" max="1" width="25.33203125" style="156" customWidth="1"/>
    <col min="2" max="6" width="9.58203125" style="156" customWidth="1"/>
    <col min="7" max="7" width="10.5" style="156" customWidth="1"/>
    <col min="8" max="26" width="9.5" style="156" customWidth="1"/>
    <col min="27" max="16384" width="12.58203125" style="156"/>
  </cols>
  <sheetData>
    <row r="11" spans="1:26" ht="15" customHeight="1" x14ac:dyDescent="0.3">
      <c r="G11" s="75" t="s">
        <v>269</v>
      </c>
    </row>
    <row r="12" spans="1:26" ht="15" customHeight="1" x14ac:dyDescent="0.3">
      <c r="A12" s="175" t="s">
        <v>183</v>
      </c>
      <c r="B12" s="592" t="s">
        <v>248</v>
      </c>
      <c r="C12" s="592"/>
      <c r="D12" s="592"/>
      <c r="E12" s="592"/>
      <c r="F12" s="592"/>
      <c r="G12" s="352" t="s">
        <v>270</v>
      </c>
    </row>
    <row r="13" spans="1:26" ht="14.25" customHeight="1" x14ac:dyDescent="0.3">
      <c r="A13" s="424" t="s">
        <v>42</v>
      </c>
      <c r="B13" s="372" t="s">
        <v>45</v>
      </c>
      <c r="C13" s="372" t="s">
        <v>46</v>
      </c>
      <c r="D13" s="372" t="s">
        <v>47</v>
      </c>
      <c r="E13" s="372" t="s">
        <v>48</v>
      </c>
      <c r="F13" s="372" t="s">
        <v>49</v>
      </c>
      <c r="G13" s="238" t="s">
        <v>50</v>
      </c>
      <c r="H13" s="273"/>
      <c r="I13" s="182"/>
      <c r="J13" s="182"/>
      <c r="K13" s="182"/>
      <c r="L13" s="182"/>
      <c r="M13" s="182"/>
      <c r="N13" s="182"/>
      <c r="O13" s="182"/>
      <c r="P13" s="182"/>
      <c r="Q13" s="182"/>
      <c r="R13" s="182"/>
      <c r="S13" s="182"/>
      <c r="T13" s="182"/>
      <c r="U13" s="182"/>
      <c r="V13" s="182"/>
      <c r="W13" s="182"/>
      <c r="X13" s="182"/>
      <c r="Y13" s="182"/>
      <c r="Z13" s="182"/>
    </row>
    <row r="14" spans="1:26" ht="14.25" customHeight="1" x14ac:dyDescent="0.3">
      <c r="A14" s="185" t="s">
        <v>25</v>
      </c>
      <c r="B14" s="367"/>
      <c r="C14" s="367"/>
      <c r="D14" s="367"/>
      <c r="E14" s="367"/>
      <c r="F14" s="367"/>
      <c r="G14" s="274">
        <f t="shared" ref="G14:G16" si="0">SUM(B14:F14)</f>
        <v>0</v>
      </c>
      <c r="H14" s="275"/>
    </row>
    <row r="15" spans="1:26" ht="14.25" customHeight="1" x14ac:dyDescent="0.3">
      <c r="A15" s="185" t="s">
        <v>26</v>
      </c>
      <c r="B15" s="413"/>
      <c r="C15" s="413"/>
      <c r="D15" s="413"/>
      <c r="E15" s="413"/>
      <c r="F15" s="413"/>
      <c r="G15" s="274">
        <f t="shared" si="0"/>
        <v>0</v>
      </c>
      <c r="H15" s="275"/>
    </row>
    <row r="16" spans="1:26" ht="14.25" customHeight="1" x14ac:dyDescent="0.3">
      <c r="A16" s="276" t="s">
        <v>50</v>
      </c>
      <c r="B16" s="274">
        <f>ROUND(B14+B15,0)</f>
        <v>0</v>
      </c>
      <c r="C16" s="274">
        <f>ROUND(C14+C15,0)</f>
        <v>0</v>
      </c>
      <c r="D16" s="274">
        <f>ROUND(D14+D15,0)</f>
        <v>0</v>
      </c>
      <c r="E16" s="274">
        <f>ROUND(E14+E15,0)</f>
        <v>0</v>
      </c>
      <c r="F16" s="274">
        <f>ROUND(F14+F15,0)</f>
        <v>0</v>
      </c>
      <c r="G16" s="274">
        <f t="shared" si="0"/>
        <v>0</v>
      </c>
      <c r="H16" s="275"/>
    </row>
    <row r="17" spans="1:9" ht="14.15" customHeight="1" x14ac:dyDescent="0.3">
      <c r="A17" s="277"/>
      <c r="B17" s="75"/>
      <c r="C17" s="75"/>
      <c r="D17" s="75"/>
      <c r="E17" s="75"/>
      <c r="F17" s="75"/>
      <c r="G17" s="278"/>
    </row>
    <row r="18" spans="1:9" ht="13.5" hidden="1" customHeight="1" thickBot="1" x14ac:dyDescent="0.35">
      <c r="A18" s="279" t="s">
        <v>51</v>
      </c>
      <c r="B18" s="280">
        <f>IF(G12="Yes",0,IF(Instruction!B11&gt;45838,IF(B16&lt;=50000,B16,50000),IF(B16&lt;=25000,B16,25000)))</f>
        <v>0</v>
      </c>
      <c r="C18" s="280">
        <f>IF(G12="Yes",0,IF(Instruction!B11&gt;45838,IF(B16+C16&lt;=50000,C16,50000-B18),IF(B16+C16&lt;=25000,C16,25000-B18)))</f>
        <v>0</v>
      </c>
      <c r="D18" s="280">
        <f>IF(G12="Yes",0,IF(Instruction!B11&gt;45838,IF(B16+C16+D16&lt;=50000, D16, 50000-B18-C18),IF(B16+C16+D16&lt;=25000, D16, 25000-B18-C18)))</f>
        <v>0</v>
      </c>
      <c r="E18" s="280">
        <f>IF(G12="Yes",0,IF(Instruction!B11&gt;45838,IF(B16+C16+D16+E16&lt;=50000,E16,50000-B18-C18-D18),IF(B16+C16+D16+E16&lt;=25000,E16,25000-B18-C18-D18)))</f>
        <v>0</v>
      </c>
      <c r="F18" s="280">
        <f>IF(G12="Yes",0,IF(Instruction!B11&gt;45838, IF(B16+C16+D16+E16+F16&lt;=50000, F16, 50000-B18-C18-D18-E18),IF(B16+C16+D16+E16+F16&lt;=25000, F16, 25000-B18-C18-D18-E18)))</f>
        <v>0</v>
      </c>
      <c r="G18" s="281">
        <f>SUM(B18:F18)</f>
        <v>0</v>
      </c>
    </row>
    <row r="19" spans="1:9" ht="14.25" customHeight="1" x14ac:dyDescent="0.3">
      <c r="C19" s="282"/>
      <c r="D19" s="282"/>
      <c r="E19" s="282"/>
      <c r="F19" s="282"/>
      <c r="G19" s="75" t="s">
        <v>269</v>
      </c>
      <c r="H19" s="75"/>
      <c r="I19" s="75"/>
    </row>
    <row r="20" spans="1:9" ht="14.25" customHeight="1" x14ac:dyDescent="0.3">
      <c r="A20" s="175" t="s">
        <v>184</v>
      </c>
      <c r="B20" s="593" t="s">
        <v>230</v>
      </c>
      <c r="C20" s="594"/>
      <c r="D20" s="594"/>
      <c r="E20" s="594"/>
      <c r="F20" s="595"/>
      <c r="G20" s="352" t="s">
        <v>270</v>
      </c>
    </row>
    <row r="21" spans="1:9" ht="14.25" customHeight="1" x14ac:dyDescent="0.3">
      <c r="A21" s="424" t="s">
        <v>42</v>
      </c>
      <c r="B21" s="238" t="s">
        <v>45</v>
      </c>
      <c r="C21" s="238" t="s">
        <v>46</v>
      </c>
      <c r="D21" s="238" t="s">
        <v>47</v>
      </c>
      <c r="E21" s="238" t="s">
        <v>48</v>
      </c>
      <c r="F21" s="238" t="s">
        <v>49</v>
      </c>
      <c r="G21" s="238" t="s">
        <v>50</v>
      </c>
    </row>
    <row r="22" spans="1:9" ht="14.25" customHeight="1" x14ac:dyDescent="0.3">
      <c r="A22" s="185" t="s">
        <v>25</v>
      </c>
      <c r="B22" s="396"/>
      <c r="C22" s="396"/>
      <c r="D22" s="396"/>
      <c r="E22" s="396"/>
      <c r="F22" s="396"/>
      <c r="G22" s="274">
        <f t="shared" ref="G22:G24" si="1">SUM(B22:F22)</f>
        <v>0</v>
      </c>
    </row>
    <row r="23" spans="1:9" ht="14.25" customHeight="1" x14ac:dyDescent="0.3">
      <c r="A23" s="185" t="s">
        <v>26</v>
      </c>
      <c r="B23" s="414"/>
      <c r="C23" s="414"/>
      <c r="D23" s="414"/>
      <c r="E23" s="414"/>
      <c r="F23" s="414"/>
      <c r="G23" s="274">
        <f t="shared" si="1"/>
        <v>0</v>
      </c>
    </row>
    <row r="24" spans="1:9" ht="14.25" customHeight="1" x14ac:dyDescent="0.3">
      <c r="A24" s="276" t="s">
        <v>50</v>
      </c>
      <c r="B24" s="274">
        <f>ROUND(B22+B23,0)</f>
        <v>0</v>
      </c>
      <c r="C24" s="274">
        <f>ROUND(C22+C23,0)</f>
        <v>0</v>
      </c>
      <c r="D24" s="274">
        <f>ROUND(D22+D23,0)</f>
        <v>0</v>
      </c>
      <c r="E24" s="274">
        <f>ROUND(E22+E23,0)</f>
        <v>0</v>
      </c>
      <c r="F24" s="274">
        <f>ROUND(F22+F23,0)</f>
        <v>0</v>
      </c>
      <c r="G24" s="274">
        <f t="shared" si="1"/>
        <v>0</v>
      </c>
    </row>
    <row r="25" spans="1:9" ht="14.25" customHeight="1" x14ac:dyDescent="0.3">
      <c r="A25" s="75"/>
      <c r="B25" s="211"/>
      <c r="C25" s="211"/>
      <c r="D25" s="211"/>
      <c r="E25" s="211"/>
      <c r="F25" s="211"/>
      <c r="G25" s="211"/>
    </row>
    <row r="26" spans="1:9" ht="14.25" hidden="1" customHeight="1" thickBot="1" x14ac:dyDescent="0.35">
      <c r="A26" s="279" t="s">
        <v>51</v>
      </c>
      <c r="B26" s="280">
        <f>IF(G20="Yes",0,IF(Instruction!B11&gt;45838,IF(B24&lt;=50000,B24,50000),IF(B24&lt;=25000,B24,25000)))</f>
        <v>0</v>
      </c>
      <c r="C26" s="280">
        <f>IF(G20="Yes",0,IF(Instruction!B11&gt;45838,IF(B24+C24&lt;=50000,C24,50000-B26),IF(B24+C24&lt;=25000,C24,25000-B26)))</f>
        <v>0</v>
      </c>
      <c r="D26" s="280">
        <f>IF(G20="Yes",0,IF(Instruction!B11&gt;45838, IF(B24+C24+D24&lt;=50000, D24, 50000-B26-C26), IF(B24+C24+D24&lt;=25000, D24, 25000-B26-C26)))</f>
        <v>0</v>
      </c>
      <c r="E26" s="280">
        <f>IF(G20="Yes",0,IF(Instruction!B11&gt;45838,IF(B24+C24+D24+E24&lt;=50000,E24,50000-B26-C26-D26),IF(B24+C24+D24+E24&lt;=25000,E24,25000-B26-C26-D26)))</f>
        <v>0</v>
      </c>
      <c r="F26" s="280">
        <f>IF(G20="Yes",0,IF(Instruction!B11&gt;45838, IF(B24+C24+D24+E24+F24&lt;=50000, F24, 50000-B26-C26-D26-E26),IF(B24+C24+D24+E24+F24&lt;=25000, F24, 25000-B26-C26-D26-E26)))</f>
        <v>0</v>
      </c>
      <c r="G26" s="281">
        <f>SUM(B26:F26)</f>
        <v>0</v>
      </c>
    </row>
    <row r="27" spans="1:9" ht="14.25" customHeight="1" x14ac:dyDescent="0.3">
      <c r="G27" s="75" t="s">
        <v>269</v>
      </c>
    </row>
    <row r="28" spans="1:9" ht="14.25" customHeight="1" x14ac:dyDescent="0.3">
      <c r="A28" s="175" t="s">
        <v>185</v>
      </c>
      <c r="B28" s="593" t="s">
        <v>231</v>
      </c>
      <c r="C28" s="594"/>
      <c r="D28" s="594"/>
      <c r="E28" s="594"/>
      <c r="F28" s="595"/>
      <c r="G28" s="352" t="s">
        <v>270</v>
      </c>
    </row>
    <row r="29" spans="1:9" ht="14.25" customHeight="1" x14ac:dyDescent="0.3">
      <c r="A29" s="424" t="s">
        <v>42</v>
      </c>
      <c r="B29" s="238" t="s">
        <v>45</v>
      </c>
      <c r="C29" s="238" t="s">
        <v>46</v>
      </c>
      <c r="D29" s="238" t="s">
        <v>47</v>
      </c>
      <c r="E29" s="238" t="s">
        <v>48</v>
      </c>
      <c r="F29" s="238" t="s">
        <v>49</v>
      </c>
      <c r="G29" s="238" t="s">
        <v>50</v>
      </c>
    </row>
    <row r="30" spans="1:9" ht="14.25" customHeight="1" x14ac:dyDescent="0.3">
      <c r="A30" s="185" t="s">
        <v>25</v>
      </c>
      <c r="B30" s="367"/>
      <c r="C30" s="367"/>
      <c r="D30" s="367"/>
      <c r="E30" s="367"/>
      <c r="F30" s="367"/>
      <c r="G30" s="274">
        <f t="shared" ref="G30:G32" si="2">SUM(B30:F30)</f>
        <v>0</v>
      </c>
    </row>
    <row r="31" spans="1:9" ht="14.25" customHeight="1" x14ac:dyDescent="0.3">
      <c r="A31" s="185" t="s">
        <v>26</v>
      </c>
      <c r="B31" s="413"/>
      <c r="C31" s="413"/>
      <c r="D31" s="413"/>
      <c r="E31" s="413"/>
      <c r="F31" s="413"/>
      <c r="G31" s="274">
        <f t="shared" si="2"/>
        <v>0</v>
      </c>
    </row>
    <row r="32" spans="1:9" ht="14.25" customHeight="1" x14ac:dyDescent="0.3">
      <c r="A32" s="276" t="s">
        <v>50</v>
      </c>
      <c r="B32" s="274">
        <f>ROUND(B30+B31,0)</f>
        <v>0</v>
      </c>
      <c r="C32" s="274">
        <f>ROUND(C30+C31,0)</f>
        <v>0</v>
      </c>
      <c r="D32" s="274">
        <f>ROUND(D30+D31,0)</f>
        <v>0</v>
      </c>
      <c r="E32" s="274">
        <f>ROUND(E30+E31,0)</f>
        <v>0</v>
      </c>
      <c r="F32" s="274">
        <f>ROUND(F30+F31,0)</f>
        <v>0</v>
      </c>
      <c r="G32" s="274">
        <f t="shared" si="2"/>
        <v>0</v>
      </c>
    </row>
    <row r="33" spans="1:26" ht="14.25" customHeight="1" x14ac:dyDescent="0.3">
      <c r="A33" s="277"/>
      <c r="B33" s="211"/>
      <c r="C33" s="211"/>
      <c r="D33" s="211"/>
      <c r="E33" s="211"/>
      <c r="F33" s="211"/>
      <c r="G33" s="278"/>
      <c r="H33" s="167"/>
      <c r="I33" s="167"/>
      <c r="J33" s="167"/>
      <c r="K33" s="167"/>
      <c r="L33" s="167"/>
      <c r="M33" s="167"/>
      <c r="N33" s="167"/>
      <c r="O33" s="167"/>
      <c r="P33" s="167"/>
      <c r="Q33" s="167"/>
      <c r="R33" s="167"/>
      <c r="S33" s="167"/>
      <c r="T33" s="167"/>
      <c r="U33" s="167"/>
      <c r="V33" s="167"/>
      <c r="W33" s="167"/>
      <c r="X33" s="167"/>
      <c r="Y33" s="167"/>
      <c r="Z33" s="167"/>
    </row>
    <row r="34" spans="1:26" ht="14.25" hidden="1" customHeight="1" thickBot="1" x14ac:dyDescent="0.35">
      <c r="A34" s="279" t="s">
        <v>51</v>
      </c>
      <c r="B34" s="280">
        <f>IF(G28="Yes",0,IF(Instruction!B11&gt;45838,IF(B32&lt;=50000,B32,50000),IF(B32&lt;=25000,B32,25000)))</f>
        <v>0</v>
      </c>
      <c r="C34" s="280">
        <f>IF(G28="Yes",0,IF(Instruction!B11&gt;45838,IF(B32+C32&lt;=50000,C32,50000-B34),IF(B32+C32&lt;=25000,C32,25000-B34)))</f>
        <v>0</v>
      </c>
      <c r="D34" s="280">
        <f>IF(G28="Yes",0,IF(Instruction!B11&gt;45838, IF(B32+C32+D32&lt;=50000, D32, 50000-B34-C34), IF(B32+C32+D32&lt;=25000, D32, 25000-B34-C34)))</f>
        <v>0</v>
      </c>
      <c r="E34" s="280">
        <f>IF(G28="Yes",0,IF(Instruction!B11&gt;45838,IF(B32+C32+D32+E32&lt;=50000,E32,50000-B34-C34-D34),IF(B32+C32+D32+E32&lt;=25000,E32,25000-B34-C34-D34)))</f>
        <v>0</v>
      </c>
      <c r="F34" s="280">
        <f>IF(G28="Yes",0,IF(Instruction!B11&gt;45838, IF(B32+C32+D32+E32+F32&lt;=50000, F32, 50000-B34-C34-D34-E34),IF(B32+C32+D32+E32+F32&lt;=25000, F32, 25000-B34-C34-D34-E34)))</f>
        <v>0</v>
      </c>
      <c r="G34" s="281">
        <f>SUM(B34:F34)</f>
        <v>0</v>
      </c>
      <c r="H34" s="167"/>
      <c r="I34" s="167"/>
      <c r="J34" s="167"/>
      <c r="K34" s="167"/>
      <c r="L34" s="167"/>
      <c r="M34" s="167"/>
      <c r="N34" s="167"/>
      <c r="O34" s="167"/>
      <c r="P34" s="167"/>
      <c r="Q34" s="167"/>
      <c r="R34" s="167"/>
      <c r="S34" s="167"/>
      <c r="T34" s="167"/>
      <c r="U34" s="167"/>
      <c r="V34" s="167"/>
      <c r="W34" s="167"/>
      <c r="X34" s="167"/>
      <c r="Y34" s="167"/>
      <c r="Z34" s="167"/>
    </row>
    <row r="35" spans="1:26" ht="14.25" customHeight="1" x14ac:dyDescent="0.3">
      <c r="G35" s="75" t="s">
        <v>269</v>
      </c>
      <c r="H35" s="167"/>
      <c r="I35" s="167"/>
      <c r="J35" s="167"/>
      <c r="K35" s="167"/>
      <c r="L35" s="167"/>
      <c r="M35" s="167"/>
      <c r="N35" s="167"/>
      <c r="O35" s="167"/>
      <c r="P35" s="167"/>
      <c r="Q35" s="167"/>
      <c r="R35" s="167"/>
      <c r="S35" s="167"/>
      <c r="T35" s="167"/>
      <c r="U35" s="167"/>
      <c r="V35" s="167"/>
      <c r="W35" s="167"/>
      <c r="X35" s="167"/>
      <c r="Y35" s="167"/>
      <c r="Z35" s="167"/>
    </row>
    <row r="36" spans="1:26" ht="14.25" customHeight="1" x14ac:dyDescent="0.3">
      <c r="A36" s="175" t="s">
        <v>186</v>
      </c>
      <c r="B36" s="593" t="s">
        <v>232</v>
      </c>
      <c r="C36" s="594"/>
      <c r="D36" s="594"/>
      <c r="E36" s="594"/>
      <c r="F36" s="595"/>
      <c r="G36" s="352" t="s">
        <v>270</v>
      </c>
      <c r="H36" s="167"/>
      <c r="I36" s="167"/>
      <c r="J36" s="167"/>
      <c r="K36" s="167"/>
      <c r="L36" s="167"/>
      <c r="M36" s="167"/>
      <c r="N36" s="167"/>
      <c r="O36" s="167"/>
      <c r="P36" s="167"/>
      <c r="Q36" s="167"/>
      <c r="R36" s="167"/>
      <c r="S36" s="167"/>
      <c r="T36" s="167"/>
      <c r="U36" s="167"/>
      <c r="V36" s="167"/>
      <c r="W36" s="167"/>
      <c r="X36" s="167"/>
      <c r="Y36" s="167"/>
      <c r="Z36" s="167"/>
    </row>
    <row r="37" spans="1:26" ht="14.25" customHeight="1" x14ac:dyDescent="0.3">
      <c r="A37" s="424" t="s">
        <v>42</v>
      </c>
      <c r="B37" s="238" t="s">
        <v>45</v>
      </c>
      <c r="C37" s="238" t="s">
        <v>46</v>
      </c>
      <c r="D37" s="238" t="s">
        <v>47</v>
      </c>
      <c r="E37" s="238" t="s">
        <v>48</v>
      </c>
      <c r="F37" s="238" t="s">
        <v>49</v>
      </c>
      <c r="G37" s="238" t="s">
        <v>50</v>
      </c>
      <c r="H37" s="167"/>
      <c r="I37" s="167"/>
      <c r="J37" s="167"/>
      <c r="K37" s="167"/>
      <c r="L37" s="167"/>
      <c r="M37" s="167"/>
      <c r="N37" s="167"/>
      <c r="O37" s="167"/>
      <c r="P37" s="167"/>
      <c r="Q37" s="167"/>
      <c r="R37" s="167"/>
      <c r="S37" s="167"/>
      <c r="T37" s="167"/>
      <c r="U37" s="167"/>
      <c r="V37" s="167"/>
      <c r="W37" s="167"/>
      <c r="X37" s="167"/>
      <c r="Y37" s="167"/>
      <c r="Z37" s="167"/>
    </row>
    <row r="38" spans="1:26" ht="14.25" customHeight="1" x14ac:dyDescent="0.3">
      <c r="A38" s="185" t="s">
        <v>25</v>
      </c>
      <c r="B38" s="367"/>
      <c r="C38" s="367"/>
      <c r="D38" s="367"/>
      <c r="E38" s="367"/>
      <c r="F38" s="367"/>
      <c r="G38" s="274">
        <f t="shared" ref="G38:G40" si="3">SUM(B38:F38)</f>
        <v>0</v>
      </c>
      <c r="H38" s="167"/>
      <c r="I38" s="167"/>
      <c r="J38" s="167"/>
      <c r="K38" s="167"/>
      <c r="L38" s="167"/>
      <c r="M38" s="167"/>
      <c r="N38" s="167"/>
      <c r="O38" s="167"/>
      <c r="P38" s="167"/>
      <c r="Q38" s="167"/>
      <c r="R38" s="167"/>
      <c r="S38" s="167"/>
      <c r="T38" s="167"/>
      <c r="U38" s="167"/>
      <c r="V38" s="167"/>
      <c r="W38" s="167"/>
      <c r="X38" s="167"/>
      <c r="Y38" s="167"/>
      <c r="Z38" s="167"/>
    </row>
    <row r="39" spans="1:26" ht="14.25" customHeight="1" x14ac:dyDescent="0.3">
      <c r="A39" s="185" t="s">
        <v>26</v>
      </c>
      <c r="B39" s="413"/>
      <c r="C39" s="413"/>
      <c r="D39" s="413"/>
      <c r="E39" s="413"/>
      <c r="F39" s="413"/>
      <c r="G39" s="274">
        <f t="shared" si="3"/>
        <v>0</v>
      </c>
      <c r="H39" s="167"/>
      <c r="I39" s="167"/>
      <c r="J39" s="167"/>
      <c r="K39" s="167"/>
      <c r="L39" s="167"/>
      <c r="M39" s="167"/>
      <c r="N39" s="167"/>
      <c r="O39" s="167"/>
      <c r="P39" s="167"/>
      <c r="Q39" s="167"/>
      <c r="R39" s="167"/>
      <c r="S39" s="167"/>
      <c r="T39" s="167"/>
      <c r="U39" s="167"/>
      <c r="V39" s="167"/>
      <c r="W39" s="167"/>
      <c r="X39" s="167"/>
      <c r="Y39" s="167"/>
      <c r="Z39" s="167"/>
    </row>
    <row r="40" spans="1:26" ht="14.25" customHeight="1" x14ac:dyDescent="0.3">
      <c r="A40" s="276" t="s">
        <v>50</v>
      </c>
      <c r="B40" s="274">
        <f>ROUND(B38+B39,0)</f>
        <v>0</v>
      </c>
      <c r="C40" s="274">
        <f>ROUND(C38+C39,0)</f>
        <v>0</v>
      </c>
      <c r="D40" s="274">
        <f>ROUND(D38+D39,0)</f>
        <v>0</v>
      </c>
      <c r="E40" s="274">
        <f>ROUND(E38+E39,0)</f>
        <v>0</v>
      </c>
      <c r="F40" s="274">
        <f>ROUND(F38+F39,0)</f>
        <v>0</v>
      </c>
      <c r="G40" s="274">
        <f t="shared" si="3"/>
        <v>0</v>
      </c>
      <c r="H40" s="167"/>
      <c r="I40" s="167"/>
      <c r="J40" s="167"/>
      <c r="K40" s="167"/>
      <c r="L40" s="167"/>
      <c r="M40" s="167"/>
      <c r="N40" s="167"/>
      <c r="O40" s="167"/>
      <c r="P40" s="167"/>
      <c r="Q40" s="167"/>
      <c r="R40" s="167"/>
      <c r="S40" s="167"/>
      <c r="T40" s="167"/>
      <c r="U40" s="167"/>
      <c r="V40" s="167"/>
      <c r="W40" s="167"/>
      <c r="X40" s="167"/>
      <c r="Y40" s="167"/>
      <c r="Z40" s="167"/>
    </row>
    <row r="41" spans="1:26" ht="14.25" customHeight="1" x14ac:dyDescent="0.3">
      <c r="A41" s="277"/>
      <c r="B41" s="211"/>
      <c r="C41" s="211"/>
      <c r="D41" s="211"/>
      <c r="E41" s="211"/>
      <c r="F41" s="211"/>
      <c r="G41" s="278"/>
      <c r="H41" s="167"/>
      <c r="I41" s="167"/>
      <c r="J41" s="167"/>
      <c r="K41" s="167"/>
      <c r="L41" s="167"/>
      <c r="M41" s="167"/>
      <c r="N41" s="167"/>
      <c r="O41" s="167"/>
      <c r="P41" s="167"/>
      <c r="Q41" s="167"/>
      <c r="R41" s="167"/>
      <c r="S41" s="167"/>
      <c r="T41" s="167"/>
      <c r="U41" s="167"/>
      <c r="V41" s="167"/>
      <c r="W41" s="167"/>
      <c r="X41" s="167"/>
      <c r="Y41" s="167"/>
      <c r="Z41" s="167"/>
    </row>
    <row r="42" spans="1:26" ht="14.25" hidden="1" customHeight="1" thickBot="1" x14ac:dyDescent="0.35">
      <c r="A42" s="279" t="s">
        <v>51</v>
      </c>
      <c r="B42" s="280">
        <f>IF(G36="Yes",0,IF(Instruction!B11&gt;45838,IF(B40&lt;=50000,B40,50000),IF(B40&lt;=25000,B40,25000)))</f>
        <v>0</v>
      </c>
      <c r="C42" s="280">
        <f>IF(G36="Yes",0,IF(Instruction!B11&gt;45838,IF(B40+C40&lt;=50000,C40,50000-B42),IF(B40+C40&lt;=25000,C40,25000-B42)))</f>
        <v>0</v>
      </c>
      <c r="D42" s="280">
        <f>IF(G36="Yes",0,IF(Instruction!B11&gt;45838, IF(B40+C40+D40&lt;=50000, D40, 50000-B42-C42), IF(B40+C40+D40&lt;=25000, D40, 25000-B42-C42)))</f>
        <v>0</v>
      </c>
      <c r="E42" s="280">
        <f>IF(G36="Yes",0,IF(Instruction!B11&gt;45838,IF(B40+C40+D40+E40&lt;=50000,E40,50000-B42-C42-D42),IF(B40+C40+D40+E40&lt;=25000,E40,25000-B42-C42-D42)))</f>
        <v>0</v>
      </c>
      <c r="F42" s="280">
        <f>IF(G36="Yes",0,IF(Instruction!B11&gt;45838, IF(B40+C40+D40+E40+F40&lt;=50000, F40, 50000-B42-C42-D42-E42),IF(B40+C40+D40+E40+F40&lt;=25000, F40, 25000-B42-C42-D42-E42)))</f>
        <v>0</v>
      </c>
      <c r="G42" s="281">
        <f>SUM(B42:F42)</f>
        <v>0</v>
      </c>
      <c r="H42" s="167"/>
      <c r="I42" s="167"/>
      <c r="J42" s="167"/>
      <c r="K42" s="167"/>
      <c r="L42" s="167"/>
      <c r="M42" s="167"/>
      <c r="N42" s="167"/>
      <c r="O42" s="167"/>
      <c r="P42" s="167"/>
      <c r="Q42" s="167"/>
      <c r="R42" s="167"/>
      <c r="S42" s="167"/>
      <c r="T42" s="167"/>
      <c r="U42" s="167"/>
      <c r="V42" s="167"/>
      <c r="W42" s="167"/>
      <c r="X42" s="167"/>
      <c r="Y42" s="167"/>
      <c r="Z42" s="167"/>
    </row>
    <row r="43" spans="1:26" ht="14.25" customHeight="1" x14ac:dyDescent="0.3">
      <c r="G43" s="75" t="s">
        <v>269</v>
      </c>
      <c r="H43" s="167"/>
      <c r="I43" s="167"/>
      <c r="J43" s="167"/>
      <c r="K43" s="167"/>
      <c r="L43" s="167"/>
      <c r="M43" s="167"/>
      <c r="N43" s="167"/>
      <c r="O43" s="167"/>
      <c r="P43" s="167"/>
      <c r="Q43" s="167"/>
      <c r="R43" s="167"/>
      <c r="S43" s="167"/>
      <c r="T43" s="167"/>
      <c r="U43" s="167"/>
      <c r="V43" s="167"/>
      <c r="W43" s="167"/>
      <c r="X43" s="167"/>
      <c r="Y43" s="167"/>
      <c r="Z43" s="167"/>
    </row>
    <row r="44" spans="1:26" ht="14.25" customHeight="1" x14ac:dyDescent="0.3">
      <c r="A44" s="175" t="s">
        <v>187</v>
      </c>
      <c r="B44" s="593" t="s">
        <v>233</v>
      </c>
      <c r="C44" s="594"/>
      <c r="D44" s="594"/>
      <c r="E44" s="594"/>
      <c r="F44" s="595"/>
      <c r="G44" s="352" t="s">
        <v>270</v>
      </c>
      <c r="H44" s="167"/>
      <c r="I44" s="167"/>
      <c r="J44" s="167"/>
      <c r="K44" s="167"/>
      <c r="L44" s="167"/>
      <c r="M44" s="167"/>
      <c r="N44" s="167"/>
      <c r="O44" s="167"/>
      <c r="P44" s="167"/>
      <c r="Q44" s="167"/>
      <c r="R44" s="167"/>
      <c r="S44" s="167"/>
      <c r="T44" s="167"/>
      <c r="U44" s="167"/>
      <c r="V44" s="167"/>
      <c r="W44" s="167"/>
      <c r="X44" s="167"/>
      <c r="Y44" s="167"/>
      <c r="Z44" s="167"/>
    </row>
    <row r="45" spans="1:26" ht="14.25" customHeight="1" x14ac:dyDescent="0.3">
      <c r="A45" s="424" t="s">
        <v>42</v>
      </c>
      <c r="B45" s="238" t="s">
        <v>45</v>
      </c>
      <c r="C45" s="238" t="s">
        <v>46</v>
      </c>
      <c r="D45" s="238" t="s">
        <v>47</v>
      </c>
      <c r="E45" s="238" t="s">
        <v>48</v>
      </c>
      <c r="F45" s="238" t="s">
        <v>49</v>
      </c>
      <c r="G45" s="238" t="s">
        <v>50</v>
      </c>
      <c r="H45" s="167"/>
      <c r="I45" s="167"/>
      <c r="J45" s="167"/>
      <c r="K45" s="167"/>
      <c r="L45" s="167"/>
      <c r="M45" s="167"/>
      <c r="N45" s="167"/>
      <c r="O45" s="167"/>
      <c r="P45" s="167"/>
      <c r="Q45" s="167"/>
      <c r="R45" s="167"/>
      <c r="S45" s="167"/>
      <c r="T45" s="167"/>
      <c r="U45" s="167"/>
      <c r="V45" s="167"/>
      <c r="W45" s="167"/>
      <c r="X45" s="167"/>
      <c r="Y45" s="167"/>
      <c r="Z45" s="167"/>
    </row>
    <row r="46" spans="1:26" ht="14.25" customHeight="1" x14ac:dyDescent="0.3">
      <c r="A46" s="185" t="s">
        <v>25</v>
      </c>
      <c r="B46" s="367"/>
      <c r="C46" s="367"/>
      <c r="D46" s="367"/>
      <c r="E46" s="367"/>
      <c r="F46" s="367"/>
      <c r="G46" s="274">
        <f t="shared" ref="G46:G48" si="4">SUM(B46:F46)</f>
        <v>0</v>
      </c>
      <c r="H46" s="167"/>
      <c r="I46" s="167"/>
      <c r="J46" s="167"/>
      <c r="K46" s="167"/>
      <c r="L46" s="167"/>
      <c r="M46" s="167"/>
      <c r="N46" s="167"/>
      <c r="O46" s="167"/>
      <c r="P46" s="167"/>
      <c r="Q46" s="167"/>
      <c r="R46" s="167"/>
      <c r="S46" s="167"/>
      <c r="T46" s="167"/>
      <c r="U46" s="167"/>
      <c r="V46" s="167"/>
      <c r="W46" s="167"/>
      <c r="X46" s="167"/>
      <c r="Y46" s="167"/>
      <c r="Z46" s="167"/>
    </row>
    <row r="47" spans="1:26" ht="14.25" customHeight="1" x14ac:dyDescent="0.3">
      <c r="A47" s="185" t="s">
        <v>26</v>
      </c>
      <c r="B47" s="413"/>
      <c r="C47" s="413"/>
      <c r="D47" s="413"/>
      <c r="E47" s="413"/>
      <c r="F47" s="413"/>
      <c r="G47" s="274">
        <f t="shared" si="4"/>
        <v>0</v>
      </c>
      <c r="H47" s="167"/>
      <c r="I47" s="167"/>
      <c r="J47" s="167"/>
      <c r="K47" s="167"/>
      <c r="L47" s="167"/>
      <c r="M47" s="167"/>
      <c r="N47" s="167"/>
      <c r="O47" s="167"/>
      <c r="P47" s="167"/>
      <c r="Q47" s="167"/>
      <c r="R47" s="167"/>
      <c r="S47" s="167"/>
      <c r="T47" s="167"/>
      <c r="U47" s="167"/>
      <c r="V47" s="167"/>
      <c r="W47" s="167"/>
      <c r="X47" s="167"/>
      <c r="Y47" s="167"/>
      <c r="Z47" s="167"/>
    </row>
    <row r="48" spans="1:26" ht="14.25" customHeight="1" x14ac:dyDescent="0.3">
      <c r="A48" s="276" t="s">
        <v>50</v>
      </c>
      <c r="B48" s="274">
        <f>ROUND(B46+B47,0)</f>
        <v>0</v>
      </c>
      <c r="C48" s="274">
        <f>ROUND(C46+C47,0)</f>
        <v>0</v>
      </c>
      <c r="D48" s="274">
        <f>ROUND(D46+D47,0)</f>
        <v>0</v>
      </c>
      <c r="E48" s="274">
        <f>ROUND(E46+E47,0)</f>
        <v>0</v>
      </c>
      <c r="F48" s="274">
        <f>ROUND(F46+F47,0)</f>
        <v>0</v>
      </c>
      <c r="G48" s="274">
        <f t="shared" si="4"/>
        <v>0</v>
      </c>
      <c r="H48" s="167"/>
      <c r="I48" s="167"/>
      <c r="J48" s="167"/>
      <c r="K48" s="167"/>
      <c r="L48" s="167"/>
      <c r="M48" s="167"/>
      <c r="N48" s="167"/>
      <c r="O48" s="167"/>
      <c r="P48" s="167"/>
      <c r="Q48" s="167"/>
      <c r="R48" s="167"/>
      <c r="S48" s="167"/>
      <c r="T48" s="167"/>
      <c r="U48" s="167"/>
      <c r="V48" s="167"/>
      <c r="W48" s="167"/>
      <c r="X48" s="167"/>
      <c r="Y48" s="167"/>
      <c r="Z48" s="167"/>
    </row>
    <row r="49" spans="1:26" ht="14.25" customHeight="1" x14ac:dyDescent="0.3">
      <c r="A49" s="277"/>
      <c r="B49" s="211"/>
      <c r="C49" s="211"/>
      <c r="D49" s="211"/>
      <c r="E49" s="211"/>
      <c r="F49" s="211"/>
      <c r="G49" s="278"/>
      <c r="H49" s="167"/>
      <c r="I49" s="167"/>
      <c r="J49" s="167"/>
      <c r="K49" s="167"/>
      <c r="L49" s="167"/>
      <c r="M49" s="167"/>
      <c r="N49" s="167"/>
      <c r="O49" s="167"/>
      <c r="P49" s="167"/>
      <c r="Q49" s="167"/>
      <c r="R49" s="167"/>
      <c r="S49" s="167"/>
      <c r="T49" s="167"/>
      <c r="U49" s="167"/>
      <c r="V49" s="167"/>
      <c r="W49" s="167"/>
      <c r="X49" s="167"/>
      <c r="Y49" s="167"/>
      <c r="Z49" s="167"/>
    </row>
    <row r="50" spans="1:26" ht="14.25" hidden="1" customHeight="1" thickBot="1" x14ac:dyDescent="0.35">
      <c r="A50" s="279" t="s">
        <v>51</v>
      </c>
      <c r="B50" s="280">
        <f>IF(G44="Yes",0,IF(Instruction!B11&gt;45838,IF(B48&lt;=50000,B48,50000),IF(B48&lt;=25000,B48,25000)))</f>
        <v>0</v>
      </c>
      <c r="C50" s="280">
        <f>IF(G44="Yes",0,IF(Instruction!B11&gt;45838,IF(B48+C48&lt;=50000,C48,50000-B50),IF(B48+C48&lt;=25000,C48,25000-B50)))</f>
        <v>0</v>
      </c>
      <c r="D50" s="280">
        <f>IF(G44="Yes",0,IF(Instruction!B11&gt;45838, IF(B48+C48+D48&lt;=50000, D48, 50000-B50-C50), IF(B48+C48+D48&lt;=25000, D48, 25000-B50-C50)))</f>
        <v>0</v>
      </c>
      <c r="E50" s="280">
        <f>IF(G44="Yes",0,IF(Instruction!B11&gt;45838,IF(B48+C48+D48+E48&lt;=50000,E48,50000-B50-C50-D50),IF(B48+C48+D48+E48&lt;=25000,E48,25000-B50-C50-D50)))</f>
        <v>0</v>
      </c>
      <c r="F50" s="280">
        <f>IF(G44="Yes",0,IF(Instruction!B11&gt;45838, IF(B48+C48+D48+E48+F48&lt;=50000, F48, 50000-B50-C50-D50-E50),IF(B48+C48+D48+E48+F48&lt;=25000, F48, 25000-B50-C50-D50-E50)))</f>
        <v>0</v>
      </c>
      <c r="G50" s="281">
        <f>SUM(B50:F50)</f>
        <v>0</v>
      </c>
      <c r="H50" s="167"/>
      <c r="I50" s="167"/>
      <c r="J50" s="167"/>
      <c r="K50" s="167"/>
      <c r="L50" s="167"/>
      <c r="M50" s="167"/>
      <c r="N50" s="167"/>
      <c r="O50" s="167"/>
      <c r="P50" s="167"/>
      <c r="Q50" s="167"/>
      <c r="R50" s="167"/>
      <c r="S50" s="167"/>
      <c r="T50" s="167"/>
      <c r="U50" s="167"/>
      <c r="V50" s="167"/>
      <c r="W50" s="167"/>
      <c r="X50" s="167"/>
      <c r="Y50" s="167"/>
      <c r="Z50" s="167"/>
    </row>
    <row r="51" spans="1:26" ht="14.25" customHeight="1" x14ac:dyDescent="0.3">
      <c r="H51" s="167"/>
      <c r="I51" s="167"/>
      <c r="J51" s="167"/>
      <c r="K51" s="167"/>
      <c r="L51" s="167"/>
      <c r="M51" s="167"/>
      <c r="N51" s="167"/>
      <c r="O51" s="167"/>
      <c r="P51" s="167"/>
      <c r="Q51" s="167"/>
      <c r="R51" s="167"/>
      <c r="S51" s="167"/>
      <c r="T51" s="167"/>
      <c r="U51" s="167"/>
      <c r="V51" s="167"/>
      <c r="W51" s="167"/>
      <c r="X51" s="167"/>
      <c r="Y51" s="167"/>
      <c r="Z51" s="167"/>
    </row>
    <row r="52" spans="1:26" ht="14.25" customHeight="1" x14ac:dyDescent="0.3">
      <c r="A52" s="167"/>
      <c r="B52" s="473"/>
      <c r="C52" s="473"/>
      <c r="D52" s="473"/>
      <c r="E52" s="473"/>
      <c r="F52" s="473"/>
      <c r="G52" s="167"/>
      <c r="H52" s="167"/>
      <c r="I52" s="167"/>
      <c r="J52" s="167"/>
      <c r="K52" s="167"/>
      <c r="L52" s="167"/>
      <c r="M52" s="167"/>
      <c r="N52" s="167"/>
      <c r="O52" s="167"/>
      <c r="P52" s="167"/>
      <c r="Q52" s="167"/>
      <c r="R52" s="167"/>
      <c r="S52" s="167"/>
      <c r="T52" s="167"/>
      <c r="U52" s="167"/>
      <c r="V52" s="167"/>
      <c r="W52" s="167"/>
      <c r="X52" s="167"/>
      <c r="Y52" s="167"/>
      <c r="Z52" s="167"/>
    </row>
    <row r="53" spans="1:26" ht="14.25" customHeight="1" x14ac:dyDescent="0.3">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4.25" customHeight="1" x14ac:dyDescent="0.3">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4.25" customHeight="1" x14ac:dyDescent="0.3">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4.25" customHeight="1" x14ac:dyDescent="0.3">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4.25" customHeight="1" x14ac:dyDescent="0.3">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4.25" customHeight="1" x14ac:dyDescent="0.3">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4.25" customHeight="1" x14ac:dyDescent="0.3">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4.25" customHeight="1" x14ac:dyDescent="0.3">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4.25" customHeight="1" x14ac:dyDescent="0.3">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4.25" customHeight="1" x14ac:dyDescent="0.3">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4.25" customHeight="1" x14ac:dyDescent="0.3">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4.25" customHeight="1" x14ac:dyDescent="0.3">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x14ac:dyDescent="0.3">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4.25" customHeight="1" x14ac:dyDescent="0.3">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4.25" customHeight="1" x14ac:dyDescent="0.3">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4.25" customHeight="1" x14ac:dyDescent="0.3">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4.25" customHeight="1" x14ac:dyDescent="0.3">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4.25" customHeigh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4.25" customHeight="1"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4.25" customHeight="1"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4.25" customHeight="1" x14ac:dyDescent="0.3">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4.25" customHeight="1" x14ac:dyDescent="0.3">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x14ac:dyDescent="0.3">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x14ac:dyDescent="0.3">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4.25" customHeight="1" x14ac:dyDescent="0.3">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4.25" customHeight="1" x14ac:dyDescent="0.3">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4.25" customHeight="1" x14ac:dyDescent="0.3">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4.25" customHeight="1" x14ac:dyDescent="0.3">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4.25" customHeight="1" x14ac:dyDescent="0.3">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4.25" customHeight="1" x14ac:dyDescent="0.3">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4.25" customHeight="1" x14ac:dyDescent="0.3">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4.25" customHeight="1" x14ac:dyDescent="0.3">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4.25" customHeight="1" x14ac:dyDescent="0.3">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4.25" customHeight="1" x14ac:dyDescent="0.3">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4.25" customHeight="1" x14ac:dyDescent="0.3">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4.25" customHeight="1" x14ac:dyDescent="0.3">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4.25" customHeight="1" x14ac:dyDescent="0.3">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4.25" customHeight="1" x14ac:dyDescent="0.3">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4.25" customHeight="1" x14ac:dyDescent="0.3">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4.25" customHeight="1" x14ac:dyDescent="0.3">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4.25" customHeight="1" x14ac:dyDescent="0.3">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x14ac:dyDescent="0.3">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x14ac:dyDescent="0.3">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x14ac:dyDescent="0.3">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x14ac:dyDescent="0.3">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x14ac:dyDescent="0.3">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x14ac:dyDescent="0.3">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4.25" customHeight="1" x14ac:dyDescent="0.3">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4.25" customHeight="1" x14ac:dyDescent="0.3">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4.25" customHeight="1" x14ac:dyDescent="0.3">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4.25" customHeight="1" x14ac:dyDescent="0.3">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4.25" customHeight="1" x14ac:dyDescent="0.3">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4.25" customHeight="1" x14ac:dyDescent="0.3">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4.25" customHeight="1" x14ac:dyDescent="0.3">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4.25" customHeight="1" x14ac:dyDescent="0.3">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4.25" customHeight="1" x14ac:dyDescent="0.3">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4.25" customHeight="1" x14ac:dyDescent="0.3">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4.25" customHeight="1" x14ac:dyDescent="0.3">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4.25" customHeight="1" x14ac:dyDescent="0.3">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4.25" customHeight="1" x14ac:dyDescent="0.3">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4.25" customHeight="1" x14ac:dyDescent="0.3">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4.25" customHeight="1" x14ac:dyDescent="0.3">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4.25" customHeight="1" x14ac:dyDescent="0.3">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4.25" customHeight="1" x14ac:dyDescent="0.3">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4.25" customHeight="1" x14ac:dyDescent="0.3">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4.25" customHeight="1" x14ac:dyDescent="0.3">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4.25" customHeight="1" x14ac:dyDescent="0.3">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x14ac:dyDescent="0.3">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4.25" customHeight="1" x14ac:dyDescent="0.3">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4.25" customHeight="1" x14ac:dyDescent="0.3">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4.25" customHeight="1" x14ac:dyDescent="0.3">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4.25" customHeight="1" x14ac:dyDescent="0.3">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4.25" customHeight="1" x14ac:dyDescent="0.3">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4.25" customHeight="1" x14ac:dyDescent="0.3">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4.25" customHeight="1" x14ac:dyDescent="0.3">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4.25" customHeight="1" x14ac:dyDescent="0.3">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4.25" customHeight="1" x14ac:dyDescent="0.3">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4.25" customHeight="1" x14ac:dyDescent="0.3">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4.25" customHeight="1" x14ac:dyDescent="0.3">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4.25" customHeight="1" x14ac:dyDescent="0.3">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4.25" customHeight="1" x14ac:dyDescent="0.3">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4.25" customHeight="1" x14ac:dyDescent="0.3">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4.25" customHeight="1" x14ac:dyDescent="0.3">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4.25" customHeight="1" x14ac:dyDescent="0.3">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4.25" customHeight="1" x14ac:dyDescent="0.3">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4.25" customHeight="1" x14ac:dyDescent="0.3">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4.25" customHeight="1" x14ac:dyDescent="0.3">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4.25" customHeight="1" x14ac:dyDescent="0.3">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4.25" customHeight="1" x14ac:dyDescent="0.3">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4.25" customHeight="1" x14ac:dyDescent="0.3">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4.25" customHeight="1" x14ac:dyDescent="0.3">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4.25" customHeight="1" x14ac:dyDescent="0.3">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4.25" customHeight="1" x14ac:dyDescent="0.3">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4.25" customHeight="1" x14ac:dyDescent="0.3">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4.25" customHeight="1" x14ac:dyDescent="0.3">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4.25" customHeight="1" x14ac:dyDescent="0.3">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4.25" customHeight="1" x14ac:dyDescent="0.3">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4.25" customHeight="1" x14ac:dyDescent="0.3">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4.25" customHeight="1" x14ac:dyDescent="0.3">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4.25" customHeight="1" x14ac:dyDescent="0.3">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4.25" customHeight="1" x14ac:dyDescent="0.3">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4.25" customHeight="1" x14ac:dyDescent="0.3">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4.25" customHeight="1" x14ac:dyDescent="0.3">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4.25" customHeight="1" x14ac:dyDescent="0.3">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4.25" customHeight="1" x14ac:dyDescent="0.3">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4.25" customHeight="1" x14ac:dyDescent="0.3">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4.25" customHeight="1" x14ac:dyDescent="0.3">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4.25" customHeight="1" x14ac:dyDescent="0.3">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4.25" customHeight="1" x14ac:dyDescent="0.3">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4.25" customHeight="1" x14ac:dyDescent="0.3">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4.25" customHeight="1" x14ac:dyDescent="0.3">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4.25" customHeight="1" x14ac:dyDescent="0.3">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4.25" customHeight="1" x14ac:dyDescent="0.3">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4.25" customHeight="1" x14ac:dyDescent="0.3">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4.25" customHeight="1" x14ac:dyDescent="0.3">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4.25" customHeight="1" x14ac:dyDescent="0.3">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4.25" customHeight="1" x14ac:dyDescent="0.3">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4.25" customHeight="1" x14ac:dyDescent="0.3">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4.25" customHeight="1" x14ac:dyDescent="0.3">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4.25" customHeight="1" x14ac:dyDescent="0.3">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4.25" customHeight="1" x14ac:dyDescent="0.3">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4.25" customHeight="1" x14ac:dyDescent="0.3">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4.25" customHeight="1" x14ac:dyDescent="0.3">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4.25" customHeight="1" x14ac:dyDescent="0.3">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4.25" customHeight="1" x14ac:dyDescent="0.3">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4.25" customHeight="1" x14ac:dyDescent="0.3">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4.25" customHeight="1" x14ac:dyDescent="0.3">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4.25" customHeight="1" x14ac:dyDescent="0.3">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4.25" customHeight="1" x14ac:dyDescent="0.3">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4.25" customHeight="1" x14ac:dyDescent="0.3">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4.25" customHeight="1" x14ac:dyDescent="0.3">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4.25" customHeight="1" x14ac:dyDescent="0.3">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4.25" customHeight="1" x14ac:dyDescent="0.3">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4.25" customHeight="1" x14ac:dyDescent="0.3">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4.25" customHeight="1" x14ac:dyDescent="0.3">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4.25" customHeight="1" x14ac:dyDescent="0.3">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4.25" customHeight="1" x14ac:dyDescent="0.3">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4.25" customHeight="1" x14ac:dyDescent="0.3">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4.25" customHeight="1" x14ac:dyDescent="0.3">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4.25" customHeight="1" x14ac:dyDescent="0.3">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4.25" customHeight="1" x14ac:dyDescent="0.3">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4.25" customHeight="1" x14ac:dyDescent="0.3">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4.25" customHeight="1" x14ac:dyDescent="0.3">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4.25" customHeight="1" x14ac:dyDescent="0.3">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4.25" customHeight="1" x14ac:dyDescent="0.3">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4.25" customHeight="1" x14ac:dyDescent="0.3">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4.25" customHeight="1" x14ac:dyDescent="0.3">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4.25" customHeight="1" x14ac:dyDescent="0.3">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4.25" customHeight="1" x14ac:dyDescent="0.3">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4.25" customHeight="1" x14ac:dyDescent="0.3">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4.25" customHeight="1" x14ac:dyDescent="0.3">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4.25" customHeight="1" x14ac:dyDescent="0.3">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4.25" customHeight="1" x14ac:dyDescent="0.3">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4.25" customHeight="1" x14ac:dyDescent="0.3">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4.25" customHeight="1" x14ac:dyDescent="0.3">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4.25" customHeight="1" x14ac:dyDescent="0.3">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4.25" customHeight="1" x14ac:dyDescent="0.3">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4.25" customHeight="1" x14ac:dyDescent="0.3">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4.25" customHeight="1" x14ac:dyDescent="0.3">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4.25" customHeight="1" x14ac:dyDescent="0.3">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4.25" customHeight="1" x14ac:dyDescent="0.3">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4.25" customHeight="1" x14ac:dyDescent="0.3">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4.25" customHeight="1" x14ac:dyDescent="0.3">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4.25" customHeight="1" x14ac:dyDescent="0.3">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4.25" customHeight="1" x14ac:dyDescent="0.3">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4.25" customHeight="1" x14ac:dyDescent="0.3">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4.25" customHeight="1" x14ac:dyDescent="0.3">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4.25" customHeight="1" x14ac:dyDescent="0.3">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4.25" customHeight="1" x14ac:dyDescent="0.3">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4.25" customHeight="1" x14ac:dyDescent="0.3">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4.25" customHeight="1" x14ac:dyDescent="0.3">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4.25" customHeight="1" x14ac:dyDescent="0.3">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4.25" customHeight="1" x14ac:dyDescent="0.3">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4.25" customHeight="1" x14ac:dyDescent="0.3">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4.25" customHeight="1" x14ac:dyDescent="0.3">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4.25" customHeight="1" x14ac:dyDescent="0.3">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4.25" customHeight="1" x14ac:dyDescent="0.3">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4.25" customHeight="1" x14ac:dyDescent="0.3">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4.25" customHeight="1" x14ac:dyDescent="0.3">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4.25" customHeight="1" x14ac:dyDescent="0.3">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4.25" customHeight="1" x14ac:dyDescent="0.3">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4.25" customHeight="1" x14ac:dyDescent="0.3">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4.25" customHeight="1" x14ac:dyDescent="0.3">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4.25" customHeight="1" x14ac:dyDescent="0.3">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4.25" customHeight="1" x14ac:dyDescent="0.3">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4.25" customHeight="1" x14ac:dyDescent="0.3">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4.25" customHeight="1" x14ac:dyDescent="0.3">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4.25" customHeight="1" x14ac:dyDescent="0.3">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4.25" customHeight="1" x14ac:dyDescent="0.3">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4.25" customHeight="1" x14ac:dyDescent="0.3">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4.25" customHeight="1" x14ac:dyDescent="0.3">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4.25" customHeight="1" x14ac:dyDescent="0.3">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4.25" customHeight="1" x14ac:dyDescent="0.3">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4.25" customHeight="1" x14ac:dyDescent="0.3">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4.25" customHeight="1" x14ac:dyDescent="0.3">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4.25" customHeight="1" x14ac:dyDescent="0.3">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4.25" customHeight="1" x14ac:dyDescent="0.3">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4.25" customHeight="1" x14ac:dyDescent="0.3">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4.25" customHeight="1" x14ac:dyDescent="0.3">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4.25" customHeight="1" x14ac:dyDescent="0.3">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4.25" customHeight="1" x14ac:dyDescent="0.3">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4.25" customHeight="1" x14ac:dyDescent="0.3">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4.25" customHeight="1" x14ac:dyDescent="0.3">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4.25" customHeight="1" x14ac:dyDescent="0.3">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4.25" customHeight="1" x14ac:dyDescent="0.3">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4.25" customHeight="1" x14ac:dyDescent="0.3">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4.25" customHeight="1" x14ac:dyDescent="0.3">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4.25" customHeight="1" x14ac:dyDescent="0.3">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4.25" customHeight="1" x14ac:dyDescent="0.3">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4.25" customHeight="1" x14ac:dyDescent="0.3">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4.25" customHeight="1" x14ac:dyDescent="0.3">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4.25" customHeight="1" x14ac:dyDescent="0.3">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4.25" customHeight="1" x14ac:dyDescent="0.3">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4.25" customHeight="1" x14ac:dyDescent="0.3">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4.25" customHeight="1" x14ac:dyDescent="0.3">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4.25" customHeight="1" x14ac:dyDescent="0.3">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4.25" customHeight="1" x14ac:dyDescent="0.3">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4.25" customHeight="1" x14ac:dyDescent="0.3">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4.25" customHeight="1" x14ac:dyDescent="0.3">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4.25" customHeight="1" x14ac:dyDescent="0.3">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4.25" customHeight="1" x14ac:dyDescent="0.3">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4.25" customHeight="1" x14ac:dyDescent="0.3">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4.25" customHeight="1" x14ac:dyDescent="0.3">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4.25" customHeight="1" x14ac:dyDescent="0.3">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4.25" customHeight="1" x14ac:dyDescent="0.3">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4.25" customHeight="1" x14ac:dyDescent="0.3">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4.25" customHeight="1" x14ac:dyDescent="0.3">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4.25" customHeight="1" x14ac:dyDescent="0.3">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4.25" customHeight="1" x14ac:dyDescent="0.3">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4.25" customHeight="1" x14ac:dyDescent="0.3">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4.25" customHeight="1" x14ac:dyDescent="0.3">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4.25" customHeight="1" x14ac:dyDescent="0.3">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4.25" customHeight="1" x14ac:dyDescent="0.3">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4.25" customHeight="1" x14ac:dyDescent="0.3">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4.25" customHeight="1" x14ac:dyDescent="0.3">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4.25" customHeight="1" x14ac:dyDescent="0.3">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4.25" customHeight="1" x14ac:dyDescent="0.3">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4.25" customHeight="1" x14ac:dyDescent="0.3">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4.25" customHeight="1" x14ac:dyDescent="0.3">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4.25" customHeight="1" x14ac:dyDescent="0.3">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4.25" customHeight="1" x14ac:dyDescent="0.3">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4.25" customHeight="1" x14ac:dyDescent="0.3">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4.25" customHeight="1" x14ac:dyDescent="0.3">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4.25" customHeight="1" x14ac:dyDescent="0.3">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4.25" customHeight="1" x14ac:dyDescent="0.3">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4.25" customHeight="1" x14ac:dyDescent="0.3">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4.25" customHeight="1" x14ac:dyDescent="0.3">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4.25" customHeight="1" x14ac:dyDescent="0.3">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4.25" customHeight="1" x14ac:dyDescent="0.3">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4.25" customHeight="1" x14ac:dyDescent="0.3">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4.25" customHeight="1" x14ac:dyDescent="0.3">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4.25" customHeight="1" x14ac:dyDescent="0.3">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4.25" customHeight="1" x14ac:dyDescent="0.3">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4.25" customHeight="1" x14ac:dyDescent="0.3">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4.25" customHeight="1" x14ac:dyDescent="0.3">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4.25" customHeight="1" x14ac:dyDescent="0.3">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4.25" customHeight="1" x14ac:dyDescent="0.3">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4.25" customHeight="1" x14ac:dyDescent="0.3">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4.25" customHeight="1" x14ac:dyDescent="0.3">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4.25" customHeight="1" x14ac:dyDescent="0.3">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4.25" customHeight="1" x14ac:dyDescent="0.3">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4.25" customHeight="1" x14ac:dyDescent="0.3">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4.25" customHeight="1" x14ac:dyDescent="0.3">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4.25" customHeight="1" x14ac:dyDescent="0.3">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4.25" customHeight="1" x14ac:dyDescent="0.3">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4.25" customHeight="1" x14ac:dyDescent="0.3">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4.25" customHeight="1" x14ac:dyDescent="0.3">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4.25" customHeight="1" x14ac:dyDescent="0.3">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4.25" customHeight="1" x14ac:dyDescent="0.3">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4.25" customHeight="1" x14ac:dyDescent="0.3">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4.25" customHeight="1" x14ac:dyDescent="0.3">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4.25" customHeight="1" x14ac:dyDescent="0.3">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4.25" customHeight="1" x14ac:dyDescent="0.3">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4.25" customHeight="1" x14ac:dyDescent="0.3">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4.25" customHeight="1" x14ac:dyDescent="0.3">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4.25" customHeight="1" x14ac:dyDescent="0.3">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4.25" customHeight="1" x14ac:dyDescent="0.3">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4.25" customHeight="1" x14ac:dyDescent="0.3">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4.25" customHeight="1" x14ac:dyDescent="0.3">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4.25" customHeight="1" x14ac:dyDescent="0.3">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4.25" customHeight="1" x14ac:dyDescent="0.3">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4.25" customHeight="1" x14ac:dyDescent="0.3">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4.25" customHeight="1" x14ac:dyDescent="0.3">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4.25" customHeight="1" x14ac:dyDescent="0.3">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4.25" customHeight="1" x14ac:dyDescent="0.3">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4.25" customHeight="1" x14ac:dyDescent="0.3">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4.25" customHeight="1" x14ac:dyDescent="0.3">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4.25" customHeight="1" x14ac:dyDescent="0.3">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4.25" customHeight="1" x14ac:dyDescent="0.3">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4.25" customHeight="1" x14ac:dyDescent="0.3">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4.25" customHeight="1" x14ac:dyDescent="0.3">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4.25" customHeight="1" x14ac:dyDescent="0.3">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4.25" customHeight="1" x14ac:dyDescent="0.3">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4.25" customHeight="1" x14ac:dyDescent="0.3">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4.25" customHeight="1" x14ac:dyDescent="0.3">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4.25" customHeight="1" x14ac:dyDescent="0.3">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4.25" customHeight="1" x14ac:dyDescent="0.3">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4.25" customHeight="1" x14ac:dyDescent="0.3">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4.25" customHeight="1" x14ac:dyDescent="0.3">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4.25" customHeight="1" x14ac:dyDescent="0.3">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4.25" customHeight="1" x14ac:dyDescent="0.3">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4.25" customHeight="1" x14ac:dyDescent="0.3">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4.25" customHeight="1" x14ac:dyDescent="0.3">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4.25" customHeight="1" x14ac:dyDescent="0.3">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4.25" customHeight="1" x14ac:dyDescent="0.3">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4.25" customHeight="1" x14ac:dyDescent="0.3">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4.25" customHeight="1" x14ac:dyDescent="0.3">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4.25" customHeight="1" x14ac:dyDescent="0.3">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4.25" customHeight="1" x14ac:dyDescent="0.3">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4.25" customHeight="1" x14ac:dyDescent="0.3">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4.25" customHeight="1" x14ac:dyDescent="0.3">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4.25" customHeight="1" x14ac:dyDescent="0.3">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4.25" customHeight="1" x14ac:dyDescent="0.3">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4.25" customHeight="1" x14ac:dyDescent="0.3">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4.25" customHeight="1" x14ac:dyDescent="0.3">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4.25" customHeight="1" x14ac:dyDescent="0.3">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4.25" customHeight="1" x14ac:dyDescent="0.3">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4.25" customHeight="1" x14ac:dyDescent="0.3">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4.25" customHeight="1" x14ac:dyDescent="0.3">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4.25" customHeight="1" x14ac:dyDescent="0.3">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4.25" customHeight="1" x14ac:dyDescent="0.3">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4.25" customHeight="1" x14ac:dyDescent="0.3">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4.25" customHeight="1" x14ac:dyDescent="0.3">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4.25" customHeight="1" x14ac:dyDescent="0.3">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4.25" customHeight="1" x14ac:dyDescent="0.3">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4.25" customHeight="1" x14ac:dyDescent="0.3">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4.25" customHeight="1" x14ac:dyDescent="0.3">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4.25" customHeight="1" x14ac:dyDescent="0.3">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4.25" customHeight="1" x14ac:dyDescent="0.3">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4.25" customHeight="1" x14ac:dyDescent="0.3">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4.25" customHeight="1" x14ac:dyDescent="0.3">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4.25" customHeight="1" x14ac:dyDescent="0.3">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4.25" customHeight="1" x14ac:dyDescent="0.3">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4.25" customHeight="1" x14ac:dyDescent="0.3">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4.25" customHeight="1" x14ac:dyDescent="0.3">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4.25" customHeight="1" x14ac:dyDescent="0.3">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4.25" customHeight="1" x14ac:dyDescent="0.3">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4.25" customHeight="1" x14ac:dyDescent="0.3">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4.25" customHeight="1" x14ac:dyDescent="0.3">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4.25" customHeight="1" x14ac:dyDescent="0.3">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4.25" customHeight="1" x14ac:dyDescent="0.3">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4.25" customHeight="1" x14ac:dyDescent="0.3">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4.25" customHeight="1" x14ac:dyDescent="0.3">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4.25" customHeight="1" x14ac:dyDescent="0.3">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4.25" customHeight="1" x14ac:dyDescent="0.3">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4.25" customHeight="1" x14ac:dyDescent="0.3">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4.25" customHeight="1" x14ac:dyDescent="0.3">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4.25" customHeight="1" x14ac:dyDescent="0.3">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4.25" customHeight="1" x14ac:dyDescent="0.3">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4.25" customHeight="1" x14ac:dyDescent="0.3">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4.25" customHeight="1" x14ac:dyDescent="0.3">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4.25" customHeight="1" x14ac:dyDescent="0.3">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4.25" customHeight="1" x14ac:dyDescent="0.3">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4.25" customHeight="1" x14ac:dyDescent="0.3">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4.25" customHeight="1" x14ac:dyDescent="0.3">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4.25" customHeight="1" x14ac:dyDescent="0.3">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4.25" customHeight="1" x14ac:dyDescent="0.3">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4.25" customHeight="1" x14ac:dyDescent="0.3">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4.25" customHeight="1" x14ac:dyDescent="0.3">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4.25" customHeight="1" x14ac:dyDescent="0.3">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4.25" customHeight="1" x14ac:dyDescent="0.3">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4.25" customHeight="1" x14ac:dyDescent="0.3">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4.25" customHeight="1" x14ac:dyDescent="0.3">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4.25" customHeight="1" x14ac:dyDescent="0.3">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4.25" customHeight="1" x14ac:dyDescent="0.3">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4.25" customHeight="1" x14ac:dyDescent="0.3">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4.25" customHeight="1" x14ac:dyDescent="0.3">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4.25" customHeight="1" x14ac:dyDescent="0.3">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4.25" customHeight="1" x14ac:dyDescent="0.3">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4.25" customHeight="1" x14ac:dyDescent="0.3">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4.25" customHeight="1" x14ac:dyDescent="0.3">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4.25" customHeight="1" x14ac:dyDescent="0.3">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4.25" customHeight="1" x14ac:dyDescent="0.3">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4.25" customHeight="1" x14ac:dyDescent="0.3">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4.25" customHeight="1" x14ac:dyDescent="0.3">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4.25" customHeight="1" x14ac:dyDescent="0.3">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4.25" customHeight="1" x14ac:dyDescent="0.3">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4.25" customHeight="1" x14ac:dyDescent="0.3">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4.25" customHeight="1" x14ac:dyDescent="0.3">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4.25" customHeight="1" x14ac:dyDescent="0.3">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4.25" customHeight="1" x14ac:dyDescent="0.3">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4.25" customHeight="1" x14ac:dyDescent="0.3">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4.25" customHeight="1" x14ac:dyDescent="0.3">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4.25" customHeight="1" x14ac:dyDescent="0.3">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4.25" customHeight="1" x14ac:dyDescent="0.3">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4.25" customHeight="1" x14ac:dyDescent="0.3">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4.25" customHeight="1" x14ac:dyDescent="0.3">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4.25" customHeight="1" x14ac:dyDescent="0.3">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4.25" customHeight="1" x14ac:dyDescent="0.3">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4.25" customHeight="1" x14ac:dyDescent="0.3">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4.25" customHeight="1" x14ac:dyDescent="0.3">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4.25" customHeight="1" x14ac:dyDescent="0.3">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4.25" customHeight="1" x14ac:dyDescent="0.3">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4.25" customHeight="1" x14ac:dyDescent="0.3">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4.25" customHeight="1" x14ac:dyDescent="0.3">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4.25" customHeight="1" x14ac:dyDescent="0.3">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4.25" customHeight="1" x14ac:dyDescent="0.3">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4.25" customHeight="1" x14ac:dyDescent="0.3">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4.25" customHeight="1" x14ac:dyDescent="0.3">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4.25" customHeight="1" x14ac:dyDescent="0.3">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4.25" customHeight="1" x14ac:dyDescent="0.3">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4.25" customHeight="1" x14ac:dyDescent="0.3">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4.25" customHeight="1" x14ac:dyDescent="0.3">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4.25" customHeight="1" x14ac:dyDescent="0.3">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4.25" customHeight="1" x14ac:dyDescent="0.3">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4.25" customHeight="1" x14ac:dyDescent="0.3">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4.25" customHeight="1" x14ac:dyDescent="0.3">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4.25" customHeight="1" x14ac:dyDescent="0.3">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4.25" customHeight="1" x14ac:dyDescent="0.3">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4.25" customHeight="1" x14ac:dyDescent="0.3">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4.25" customHeight="1" x14ac:dyDescent="0.3">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4.25" customHeight="1" x14ac:dyDescent="0.3">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4.25" customHeight="1" x14ac:dyDescent="0.3">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4.25" customHeight="1" x14ac:dyDescent="0.3">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4.25" customHeight="1" x14ac:dyDescent="0.3">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4.25" customHeight="1" x14ac:dyDescent="0.3">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4.25" customHeight="1" x14ac:dyDescent="0.3">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4.25" customHeight="1" x14ac:dyDescent="0.3">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4.25" customHeight="1" x14ac:dyDescent="0.3">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4.25" customHeight="1" x14ac:dyDescent="0.3">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4.25" customHeight="1" x14ac:dyDescent="0.3">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4.25" customHeight="1" x14ac:dyDescent="0.3">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4.25" customHeight="1" x14ac:dyDescent="0.3">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4.25" customHeight="1" x14ac:dyDescent="0.3">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4.25" customHeight="1" x14ac:dyDescent="0.3">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4.25" customHeight="1" x14ac:dyDescent="0.3">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4.25" customHeight="1" x14ac:dyDescent="0.3">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4.25" customHeight="1" x14ac:dyDescent="0.3">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4.25" customHeight="1" x14ac:dyDescent="0.3">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4.25" customHeight="1" x14ac:dyDescent="0.3">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4.25" customHeight="1" x14ac:dyDescent="0.3">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4.25" customHeight="1" x14ac:dyDescent="0.3">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4.25" customHeight="1" x14ac:dyDescent="0.3">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4.25" customHeight="1" x14ac:dyDescent="0.3">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4.25" customHeight="1" x14ac:dyDescent="0.3">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4.25" customHeight="1" x14ac:dyDescent="0.3">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4.25" customHeight="1" x14ac:dyDescent="0.3">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4.25" customHeight="1" x14ac:dyDescent="0.3">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4.25" customHeight="1" x14ac:dyDescent="0.3">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4.25" customHeight="1" x14ac:dyDescent="0.3">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4.25" customHeight="1" x14ac:dyDescent="0.3">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4.25" customHeight="1" x14ac:dyDescent="0.3">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4.25" customHeight="1" x14ac:dyDescent="0.3">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4.25" customHeight="1" x14ac:dyDescent="0.3">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4.25" customHeight="1" x14ac:dyDescent="0.3">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4.25" customHeight="1" x14ac:dyDescent="0.3">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4.25" customHeight="1" x14ac:dyDescent="0.3">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4.25" customHeight="1" x14ac:dyDescent="0.3">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4.25" customHeight="1" x14ac:dyDescent="0.3">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4.25" customHeight="1" x14ac:dyDescent="0.3">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4.25" customHeight="1" x14ac:dyDescent="0.3">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4.25" customHeight="1" x14ac:dyDescent="0.3">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4.25" customHeight="1" x14ac:dyDescent="0.3">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4.25" customHeight="1" x14ac:dyDescent="0.3">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4.25" customHeight="1" x14ac:dyDescent="0.3">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4.25" customHeight="1" x14ac:dyDescent="0.3">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4.25" customHeight="1" x14ac:dyDescent="0.3">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4.25" customHeight="1" x14ac:dyDescent="0.3">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4.25" customHeight="1" x14ac:dyDescent="0.3">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4.25" customHeight="1" x14ac:dyDescent="0.3">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4.25" customHeight="1" x14ac:dyDescent="0.3">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4.25" customHeight="1" x14ac:dyDescent="0.3">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4.25" customHeight="1" x14ac:dyDescent="0.3">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4.25" customHeight="1" x14ac:dyDescent="0.3">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4.25" customHeight="1" x14ac:dyDescent="0.3">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4.25" customHeight="1" x14ac:dyDescent="0.3">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4.25" customHeight="1" x14ac:dyDescent="0.3">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4.25" customHeight="1" x14ac:dyDescent="0.3">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4.25" customHeight="1" x14ac:dyDescent="0.3">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4.25" customHeight="1" x14ac:dyDescent="0.3">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4.25" customHeight="1" x14ac:dyDescent="0.3">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4.25" customHeight="1" x14ac:dyDescent="0.3">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4.25" customHeight="1" x14ac:dyDescent="0.3">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4.25" customHeight="1" x14ac:dyDescent="0.3">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4.25" customHeight="1" x14ac:dyDescent="0.3">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4.25" customHeight="1" x14ac:dyDescent="0.3">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4.25" customHeight="1" x14ac:dyDescent="0.3">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4.25" customHeight="1" x14ac:dyDescent="0.3">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4.25" customHeight="1" x14ac:dyDescent="0.3">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4.25" customHeight="1" x14ac:dyDescent="0.3">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4.25" customHeight="1" x14ac:dyDescent="0.3">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4.25" customHeight="1" x14ac:dyDescent="0.3">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4.25" customHeight="1" x14ac:dyDescent="0.3">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4.25" customHeight="1" x14ac:dyDescent="0.3">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4.25" customHeight="1" x14ac:dyDescent="0.3">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4.25" customHeight="1" x14ac:dyDescent="0.3">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4.25" customHeight="1" x14ac:dyDescent="0.3">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4.25" customHeight="1" x14ac:dyDescent="0.3">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4.25" customHeight="1" x14ac:dyDescent="0.3">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4.25" customHeight="1" x14ac:dyDescent="0.3">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4.25" customHeight="1" x14ac:dyDescent="0.3">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4.25" customHeight="1" x14ac:dyDescent="0.3">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4.25" customHeight="1" x14ac:dyDescent="0.3">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4.25" customHeight="1" x14ac:dyDescent="0.3">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4.25" customHeight="1" x14ac:dyDescent="0.3">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4.25" customHeight="1" x14ac:dyDescent="0.3">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4.25" customHeight="1" x14ac:dyDescent="0.3">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4.25" customHeight="1" x14ac:dyDescent="0.3">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4.25" customHeight="1" x14ac:dyDescent="0.3">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4.25" customHeight="1" x14ac:dyDescent="0.3">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4.25" customHeight="1" x14ac:dyDescent="0.3">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4.25" customHeight="1" x14ac:dyDescent="0.3">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4.25" customHeight="1" x14ac:dyDescent="0.3">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4.25" customHeight="1" x14ac:dyDescent="0.3">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4.25" customHeight="1" x14ac:dyDescent="0.3">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4.25" customHeight="1" x14ac:dyDescent="0.3">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4.25" customHeight="1" x14ac:dyDescent="0.3">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4.25" customHeight="1" x14ac:dyDescent="0.3">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4.25" customHeight="1" x14ac:dyDescent="0.3">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4.25" customHeight="1" x14ac:dyDescent="0.3">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4.25" customHeight="1" x14ac:dyDescent="0.3">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4.25" customHeight="1" x14ac:dyDescent="0.3">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4.25" customHeight="1" x14ac:dyDescent="0.3">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4.25" customHeight="1" x14ac:dyDescent="0.3">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4.25" customHeight="1" x14ac:dyDescent="0.3">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4.25" customHeight="1" x14ac:dyDescent="0.3">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4.25" customHeight="1" x14ac:dyDescent="0.3">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4.25" customHeight="1" x14ac:dyDescent="0.3">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4.25" customHeight="1" x14ac:dyDescent="0.3">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4.25" customHeight="1" x14ac:dyDescent="0.3">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4.25" customHeight="1" x14ac:dyDescent="0.3">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4.25" customHeight="1" x14ac:dyDescent="0.3">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4.25" customHeight="1" x14ac:dyDescent="0.3">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4.25" customHeight="1" x14ac:dyDescent="0.3">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4.25" customHeight="1" x14ac:dyDescent="0.3">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4.25" customHeight="1" x14ac:dyDescent="0.3">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4.25" customHeight="1" x14ac:dyDescent="0.3">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4.25" customHeight="1" x14ac:dyDescent="0.3">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4.25" customHeight="1" x14ac:dyDescent="0.3">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4.25" customHeight="1" x14ac:dyDescent="0.3">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4.25" customHeight="1" x14ac:dyDescent="0.3">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4.25" customHeight="1" x14ac:dyDescent="0.3">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4.25" customHeight="1" x14ac:dyDescent="0.3">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4.25" customHeight="1" x14ac:dyDescent="0.3">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4.25" customHeight="1" x14ac:dyDescent="0.3">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4.25" customHeight="1" x14ac:dyDescent="0.3">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4.25" customHeight="1" x14ac:dyDescent="0.3">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4.25" customHeight="1" x14ac:dyDescent="0.3">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4.25" customHeight="1" x14ac:dyDescent="0.3">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4.25" customHeight="1" x14ac:dyDescent="0.3">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4.25" customHeight="1" x14ac:dyDescent="0.3">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4.25" customHeight="1" x14ac:dyDescent="0.3">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4.25" customHeight="1" x14ac:dyDescent="0.3">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4.25" customHeight="1" x14ac:dyDescent="0.3">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4.25" customHeight="1" x14ac:dyDescent="0.3">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4.25" customHeight="1" x14ac:dyDescent="0.3">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4.25" customHeight="1" x14ac:dyDescent="0.3">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4.25" customHeight="1" x14ac:dyDescent="0.3">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4.25" customHeight="1" x14ac:dyDescent="0.3">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4.25" customHeight="1" x14ac:dyDescent="0.3">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4.25" customHeight="1" x14ac:dyDescent="0.3">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4.25" customHeight="1" x14ac:dyDescent="0.3">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4.25" customHeight="1" x14ac:dyDescent="0.3">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4.25" customHeight="1" x14ac:dyDescent="0.3">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4.25" customHeight="1" x14ac:dyDescent="0.3">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4.25" customHeight="1" x14ac:dyDescent="0.3">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4.25" customHeight="1" x14ac:dyDescent="0.3">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4.25" customHeight="1" x14ac:dyDescent="0.3">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4.25" customHeight="1" x14ac:dyDescent="0.3">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4.25" customHeight="1" x14ac:dyDescent="0.3">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4.25" customHeight="1" x14ac:dyDescent="0.3">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4.25" customHeight="1" x14ac:dyDescent="0.3">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4.25" customHeight="1" x14ac:dyDescent="0.3">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4.25" customHeight="1" x14ac:dyDescent="0.3">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4.25" customHeight="1" x14ac:dyDescent="0.3">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4.25" customHeight="1" x14ac:dyDescent="0.3">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4.25" customHeight="1" x14ac:dyDescent="0.3">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4.25" customHeight="1" x14ac:dyDescent="0.3">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4.25" customHeight="1" x14ac:dyDescent="0.3">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4.25" customHeight="1" x14ac:dyDescent="0.3">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4.25" customHeight="1" x14ac:dyDescent="0.3">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4.25" customHeight="1" x14ac:dyDescent="0.3">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4.25" customHeight="1" x14ac:dyDescent="0.3">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4.25" customHeight="1" x14ac:dyDescent="0.3">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4.25" customHeight="1" x14ac:dyDescent="0.3">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4.25" customHeight="1" x14ac:dyDescent="0.3">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4.25" customHeight="1" x14ac:dyDescent="0.3">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4.25" customHeight="1" x14ac:dyDescent="0.3">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4.25" customHeight="1" x14ac:dyDescent="0.3">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4.25" customHeight="1" x14ac:dyDescent="0.3">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4.25" customHeight="1" x14ac:dyDescent="0.3">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4.25" customHeight="1" x14ac:dyDescent="0.3">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4.25" customHeight="1" x14ac:dyDescent="0.3">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4.25" customHeight="1" x14ac:dyDescent="0.3">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4.25" customHeight="1" x14ac:dyDescent="0.3">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4.25" customHeight="1" x14ac:dyDescent="0.3">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4.25" customHeight="1" x14ac:dyDescent="0.3">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4.25" customHeight="1" x14ac:dyDescent="0.3">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4.25" customHeight="1" x14ac:dyDescent="0.3">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4.25" customHeight="1" x14ac:dyDescent="0.3">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4.25" customHeight="1" x14ac:dyDescent="0.3">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4.25" customHeight="1" x14ac:dyDescent="0.3">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4.25" customHeight="1" x14ac:dyDescent="0.3">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4.25" customHeight="1" x14ac:dyDescent="0.3">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4.25" customHeight="1" x14ac:dyDescent="0.3">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4.25" customHeight="1" x14ac:dyDescent="0.3">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4.25" customHeight="1" x14ac:dyDescent="0.3">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4.25" customHeight="1" x14ac:dyDescent="0.3">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4.25" customHeight="1" x14ac:dyDescent="0.3">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4.25" customHeight="1" x14ac:dyDescent="0.3">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4.25" customHeight="1" x14ac:dyDescent="0.3">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4.25" customHeight="1" x14ac:dyDescent="0.3">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4.25" customHeight="1" x14ac:dyDescent="0.3">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4.25" customHeight="1" x14ac:dyDescent="0.3">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4.25" customHeight="1" x14ac:dyDescent="0.3">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4.25" customHeight="1" x14ac:dyDescent="0.3">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4.25" customHeight="1" x14ac:dyDescent="0.3">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4.25" customHeight="1" x14ac:dyDescent="0.3">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4.25" customHeight="1" x14ac:dyDescent="0.3">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4.25" customHeight="1" x14ac:dyDescent="0.3">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4.25" customHeight="1" x14ac:dyDescent="0.3">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4.25" customHeight="1" x14ac:dyDescent="0.3">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4.25" customHeight="1" x14ac:dyDescent="0.3">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4.25" customHeight="1" x14ac:dyDescent="0.3">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4.25" customHeight="1" x14ac:dyDescent="0.3">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4.25" customHeight="1" x14ac:dyDescent="0.3">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4.25" customHeight="1" x14ac:dyDescent="0.3">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4.25" customHeight="1" x14ac:dyDescent="0.3">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4.25" customHeight="1" x14ac:dyDescent="0.3">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4.25" customHeight="1" x14ac:dyDescent="0.3">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4.25" customHeight="1" x14ac:dyDescent="0.3">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4.25" customHeight="1" x14ac:dyDescent="0.3">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4.25" customHeight="1" x14ac:dyDescent="0.3">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4.25" customHeight="1" x14ac:dyDescent="0.3">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4.25" customHeight="1" x14ac:dyDescent="0.3">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4.25" customHeight="1" x14ac:dyDescent="0.3">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4.25" customHeight="1" x14ac:dyDescent="0.3">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4.25" customHeight="1" x14ac:dyDescent="0.3">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4.25" customHeight="1" x14ac:dyDescent="0.3">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4.25" customHeight="1" x14ac:dyDescent="0.3">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4.25" customHeight="1" x14ac:dyDescent="0.3">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4.25" customHeight="1" x14ac:dyDescent="0.3">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4.25" customHeight="1" x14ac:dyDescent="0.3">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4.25" customHeight="1" x14ac:dyDescent="0.3">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4.25" customHeight="1" x14ac:dyDescent="0.3">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4.25" customHeight="1" x14ac:dyDescent="0.3">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4.25" customHeight="1" x14ac:dyDescent="0.3">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4.25" customHeight="1" x14ac:dyDescent="0.3">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4.25" customHeight="1" x14ac:dyDescent="0.3">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4.25" customHeight="1" x14ac:dyDescent="0.3">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4.25" customHeight="1" x14ac:dyDescent="0.3">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4.25" customHeight="1" x14ac:dyDescent="0.3">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4.25" customHeight="1" x14ac:dyDescent="0.3">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4.25" customHeight="1" x14ac:dyDescent="0.3">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4.25" customHeight="1" x14ac:dyDescent="0.3">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4.25" customHeight="1" x14ac:dyDescent="0.3">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4.25" customHeight="1" x14ac:dyDescent="0.3">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4.25" customHeight="1" x14ac:dyDescent="0.3">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4.25" customHeight="1" x14ac:dyDescent="0.3">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4.25" customHeight="1" x14ac:dyDescent="0.3">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4.25" customHeight="1" x14ac:dyDescent="0.3">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4.25" customHeight="1" x14ac:dyDescent="0.3">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4.25" customHeight="1" x14ac:dyDescent="0.3">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4.25" customHeight="1" x14ac:dyDescent="0.3">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4.25" customHeight="1" x14ac:dyDescent="0.3">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4.25" customHeight="1" x14ac:dyDescent="0.3">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4.25" customHeight="1" x14ac:dyDescent="0.3">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4.25" customHeight="1" x14ac:dyDescent="0.3">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4.25" customHeight="1" x14ac:dyDescent="0.3">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4.25" customHeight="1" x14ac:dyDescent="0.3">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4.25" customHeight="1" x14ac:dyDescent="0.3">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4.25" customHeight="1" x14ac:dyDescent="0.3">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4.25" customHeight="1" x14ac:dyDescent="0.3">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4.25" customHeight="1" x14ac:dyDescent="0.3">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4.25" customHeight="1" x14ac:dyDescent="0.3">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4.25" customHeight="1" x14ac:dyDescent="0.3">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4.25" customHeight="1" x14ac:dyDescent="0.3">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4.25" customHeight="1" x14ac:dyDescent="0.3">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4.25" customHeight="1" x14ac:dyDescent="0.3">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4.25" customHeight="1" x14ac:dyDescent="0.3">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4.25" customHeight="1" x14ac:dyDescent="0.3">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4.25" customHeight="1" x14ac:dyDescent="0.3">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4.25" customHeight="1" x14ac:dyDescent="0.3">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4.25" customHeight="1" x14ac:dyDescent="0.3">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4.25" customHeight="1" x14ac:dyDescent="0.3">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4.25" customHeight="1" x14ac:dyDescent="0.3">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4.25" customHeight="1" x14ac:dyDescent="0.3">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4.25" customHeight="1" x14ac:dyDescent="0.3">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4.25" customHeight="1" x14ac:dyDescent="0.3">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4.25" customHeight="1" x14ac:dyDescent="0.3">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4.25" customHeight="1" x14ac:dyDescent="0.3">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4.25" customHeight="1" x14ac:dyDescent="0.3">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4.25" customHeight="1" x14ac:dyDescent="0.3">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4.25" customHeight="1" x14ac:dyDescent="0.3">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4.25" customHeight="1" x14ac:dyDescent="0.3">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4.25" customHeight="1" x14ac:dyDescent="0.3">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4.25" customHeight="1" x14ac:dyDescent="0.3">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4.25" customHeight="1" x14ac:dyDescent="0.3">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4.25" customHeight="1" x14ac:dyDescent="0.3">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4.25" customHeight="1" x14ac:dyDescent="0.3">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4.25" customHeight="1" x14ac:dyDescent="0.3">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4.25" customHeight="1" x14ac:dyDescent="0.3">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4.25" customHeight="1" x14ac:dyDescent="0.3">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4.25" customHeight="1" x14ac:dyDescent="0.3">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4.25" customHeight="1" x14ac:dyDescent="0.3">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4.25" customHeight="1" x14ac:dyDescent="0.3">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4.25" customHeight="1" x14ac:dyDescent="0.3">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4.25" customHeight="1" x14ac:dyDescent="0.3">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4.25" customHeight="1" x14ac:dyDescent="0.3">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4.25" customHeight="1" x14ac:dyDescent="0.3">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4.25" customHeight="1" x14ac:dyDescent="0.3">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4.25" customHeight="1" x14ac:dyDescent="0.3">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4.25" customHeight="1" x14ac:dyDescent="0.3">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4.25" customHeight="1" x14ac:dyDescent="0.3">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4.25" customHeight="1" x14ac:dyDescent="0.3">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4.25" customHeight="1" x14ac:dyDescent="0.3">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4.25" customHeight="1" x14ac:dyDescent="0.3">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4.25" customHeight="1" x14ac:dyDescent="0.3">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4.25" customHeight="1" x14ac:dyDescent="0.3">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4.25" customHeight="1" x14ac:dyDescent="0.3">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4.25" customHeight="1" x14ac:dyDescent="0.3">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4.25" customHeight="1" x14ac:dyDescent="0.3">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4.25" customHeight="1" x14ac:dyDescent="0.3">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4.25" customHeight="1" x14ac:dyDescent="0.3">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4.25" customHeight="1" x14ac:dyDescent="0.3">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4.25" customHeight="1" x14ac:dyDescent="0.3">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4.25" customHeight="1" x14ac:dyDescent="0.3">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4.25" customHeight="1" x14ac:dyDescent="0.3">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4.25" customHeight="1" x14ac:dyDescent="0.3">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4.25" customHeight="1" x14ac:dyDescent="0.3">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4.25" customHeight="1" x14ac:dyDescent="0.3">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4.25" customHeight="1" x14ac:dyDescent="0.3">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4.25" customHeight="1" x14ac:dyDescent="0.3">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4.25" customHeight="1" x14ac:dyDescent="0.3">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4.25" customHeight="1" x14ac:dyDescent="0.3">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4.25" customHeight="1" x14ac:dyDescent="0.3">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4.25" customHeight="1" x14ac:dyDescent="0.3">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4.25" customHeight="1" x14ac:dyDescent="0.3">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4.25" customHeight="1" x14ac:dyDescent="0.3">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4.25" customHeight="1" x14ac:dyDescent="0.3">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4.25" customHeight="1" x14ac:dyDescent="0.3">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4.25" customHeight="1" x14ac:dyDescent="0.3">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4.25" customHeight="1" x14ac:dyDescent="0.3">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4.25" customHeight="1" x14ac:dyDescent="0.3">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4.25" customHeight="1" x14ac:dyDescent="0.3">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4.25" customHeight="1" x14ac:dyDescent="0.3">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4.25" customHeight="1" x14ac:dyDescent="0.3">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4.25" customHeight="1" x14ac:dyDescent="0.3">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4.25" customHeight="1" x14ac:dyDescent="0.3">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4.25" customHeight="1" x14ac:dyDescent="0.3">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4.25" customHeight="1" x14ac:dyDescent="0.3">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4.25" customHeight="1" x14ac:dyDescent="0.3">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4.25" customHeight="1" x14ac:dyDescent="0.3">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4.25" customHeight="1" x14ac:dyDescent="0.3">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4.25" customHeight="1" x14ac:dyDescent="0.3">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4.25" customHeight="1" x14ac:dyDescent="0.3">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4.25" customHeight="1" x14ac:dyDescent="0.3">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4.25" customHeight="1" x14ac:dyDescent="0.3">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4.25" customHeight="1" x14ac:dyDescent="0.3">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4.25" customHeight="1" x14ac:dyDescent="0.3">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4.25" customHeight="1" x14ac:dyDescent="0.3">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4.25" customHeight="1" x14ac:dyDescent="0.3">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4.25" customHeight="1" x14ac:dyDescent="0.3">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4.25" customHeight="1" x14ac:dyDescent="0.3">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4.25" customHeight="1" x14ac:dyDescent="0.3">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4.25" customHeight="1" x14ac:dyDescent="0.3">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4.25" customHeight="1" x14ac:dyDescent="0.3">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4.25" customHeight="1" x14ac:dyDescent="0.3">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4.25" customHeight="1" x14ac:dyDescent="0.3">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4.25" customHeight="1" x14ac:dyDescent="0.3">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4.25" customHeight="1" x14ac:dyDescent="0.3">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4.25" customHeight="1" x14ac:dyDescent="0.3">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4.25" customHeight="1" x14ac:dyDescent="0.3">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4.25" customHeight="1" x14ac:dyDescent="0.3">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4.25" customHeight="1" x14ac:dyDescent="0.3">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4.25" customHeight="1" x14ac:dyDescent="0.3">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4.25" customHeight="1" x14ac:dyDescent="0.3">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4.25" customHeight="1" x14ac:dyDescent="0.3">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4.25" customHeight="1" x14ac:dyDescent="0.3">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4.25" customHeight="1" x14ac:dyDescent="0.3">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4.25" customHeight="1" x14ac:dyDescent="0.3">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4.25" customHeight="1" x14ac:dyDescent="0.3">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4.25" customHeight="1" x14ac:dyDescent="0.3">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4.25" customHeight="1" x14ac:dyDescent="0.3">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4.25" customHeight="1" x14ac:dyDescent="0.3">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4.25" customHeight="1" x14ac:dyDescent="0.3">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4.25" customHeight="1" x14ac:dyDescent="0.3">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4.25" customHeight="1" x14ac:dyDescent="0.3">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4.25" customHeight="1" x14ac:dyDescent="0.3">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4.25" customHeight="1" x14ac:dyDescent="0.3">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4.25" customHeight="1" x14ac:dyDescent="0.3">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4.25" customHeight="1" x14ac:dyDescent="0.3">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4.25" customHeight="1" x14ac:dyDescent="0.3">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4.25" customHeight="1" x14ac:dyDescent="0.3">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4.25" customHeight="1" x14ac:dyDescent="0.3">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4.25" customHeight="1" x14ac:dyDescent="0.3">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4.25" customHeight="1" x14ac:dyDescent="0.3">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4.25" customHeight="1" x14ac:dyDescent="0.3">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4.25" customHeight="1" x14ac:dyDescent="0.3">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4.25" customHeight="1" x14ac:dyDescent="0.3">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4.25" customHeight="1" x14ac:dyDescent="0.3">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4.25" customHeight="1" x14ac:dyDescent="0.3">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4.25" customHeight="1" x14ac:dyDescent="0.3">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4.25" customHeight="1" x14ac:dyDescent="0.3">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4.25" customHeight="1" x14ac:dyDescent="0.3">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4.25" customHeight="1" x14ac:dyDescent="0.3">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4.25" customHeight="1" x14ac:dyDescent="0.3">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4.25" customHeight="1" x14ac:dyDescent="0.3">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4.25" customHeight="1" x14ac:dyDescent="0.3">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4.25" customHeight="1" x14ac:dyDescent="0.3">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4.25" customHeight="1" x14ac:dyDescent="0.3">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4.25" customHeight="1" x14ac:dyDescent="0.3">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4.25" customHeight="1" x14ac:dyDescent="0.3">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4.25" customHeight="1" x14ac:dyDescent="0.3">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4.25" customHeight="1" x14ac:dyDescent="0.3">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4.25" customHeight="1" x14ac:dyDescent="0.3">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4.25" customHeight="1" x14ac:dyDescent="0.3">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4.25" customHeight="1" x14ac:dyDescent="0.3">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4.25" customHeight="1" x14ac:dyDescent="0.3">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4.25" customHeight="1" x14ac:dyDescent="0.3">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4.25" customHeight="1" x14ac:dyDescent="0.3">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4.25" customHeight="1" x14ac:dyDescent="0.3">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4.25" customHeight="1" x14ac:dyDescent="0.3">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4.25" customHeight="1" x14ac:dyDescent="0.3">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4.25" customHeight="1" x14ac:dyDescent="0.3">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4.25" customHeight="1" x14ac:dyDescent="0.3">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4.25" customHeight="1" x14ac:dyDescent="0.3">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4.25" customHeight="1" x14ac:dyDescent="0.3">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4.25" customHeight="1" x14ac:dyDescent="0.3">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4.25" customHeight="1" x14ac:dyDescent="0.3">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4.25" customHeight="1" x14ac:dyDescent="0.3">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4.25" customHeight="1" x14ac:dyDescent="0.3">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4.25" customHeight="1" x14ac:dyDescent="0.3">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4.25" customHeight="1" x14ac:dyDescent="0.3">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4.25" customHeight="1" x14ac:dyDescent="0.3">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4.25" customHeight="1" x14ac:dyDescent="0.3">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4.25" customHeight="1" x14ac:dyDescent="0.3">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4.25" customHeight="1" x14ac:dyDescent="0.3">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4.25" customHeight="1" x14ac:dyDescent="0.3">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4.25" customHeight="1" x14ac:dyDescent="0.3">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4.25" customHeight="1" x14ac:dyDescent="0.3">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4.25" customHeight="1" x14ac:dyDescent="0.3">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4.25" customHeight="1" x14ac:dyDescent="0.3">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4.25" customHeight="1" x14ac:dyDescent="0.3">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4.25" customHeight="1" x14ac:dyDescent="0.3">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4.25" customHeight="1" x14ac:dyDescent="0.3">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4.25" customHeight="1" x14ac:dyDescent="0.3">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4.25" customHeight="1" x14ac:dyDescent="0.3">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4.25" customHeight="1" x14ac:dyDescent="0.3">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4.25" customHeight="1" x14ac:dyDescent="0.3">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4.25" customHeight="1" x14ac:dyDescent="0.3">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4.25" customHeight="1" x14ac:dyDescent="0.3">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4.25" customHeight="1" x14ac:dyDescent="0.3">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4.25" customHeight="1" x14ac:dyDescent="0.3">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4.25" customHeight="1" x14ac:dyDescent="0.3">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4.25" customHeight="1" x14ac:dyDescent="0.3">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4.25" customHeight="1" x14ac:dyDescent="0.3">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4.25" customHeight="1" x14ac:dyDescent="0.3">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4.25" customHeight="1" x14ac:dyDescent="0.3">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4.25" customHeight="1" x14ac:dyDescent="0.3">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4.25" customHeight="1" x14ac:dyDescent="0.3">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4.25" customHeight="1" x14ac:dyDescent="0.3">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4.25" customHeight="1" x14ac:dyDescent="0.3">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4.25" customHeight="1" x14ac:dyDescent="0.3">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4.25" customHeight="1" x14ac:dyDescent="0.3">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4.25" customHeight="1" x14ac:dyDescent="0.3">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4.25" customHeight="1" x14ac:dyDescent="0.3">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4.25" customHeight="1" x14ac:dyDescent="0.3">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4.25" customHeight="1" x14ac:dyDescent="0.3">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4.25" customHeight="1" x14ac:dyDescent="0.3">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4.25" customHeight="1" x14ac:dyDescent="0.3">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4.25" customHeight="1" x14ac:dyDescent="0.3">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4.25" customHeight="1" x14ac:dyDescent="0.3">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4.25" customHeight="1" x14ac:dyDescent="0.3">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4.25" customHeight="1" x14ac:dyDescent="0.3">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4.25" customHeight="1" x14ac:dyDescent="0.3">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4.25" customHeight="1" x14ac:dyDescent="0.3">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4.25" customHeight="1" x14ac:dyDescent="0.3">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4.25" customHeight="1" x14ac:dyDescent="0.3">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4.25" customHeight="1" x14ac:dyDescent="0.3">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4.25" customHeight="1" x14ac:dyDescent="0.3">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4.25" customHeight="1" x14ac:dyDescent="0.3">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4.25" customHeight="1" x14ac:dyDescent="0.3">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4.25" customHeight="1" x14ac:dyDescent="0.3">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4.25" customHeight="1" x14ac:dyDescent="0.3">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4.25" customHeight="1" x14ac:dyDescent="0.3">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4.25" customHeight="1" x14ac:dyDescent="0.3">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4.25" customHeight="1" x14ac:dyDescent="0.3">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4.25" customHeight="1" x14ac:dyDescent="0.3">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4.25" customHeight="1" x14ac:dyDescent="0.3">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4.25" customHeight="1" x14ac:dyDescent="0.3">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4.25" customHeight="1" x14ac:dyDescent="0.3">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4.25" customHeight="1" x14ac:dyDescent="0.3">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4.25" customHeight="1" x14ac:dyDescent="0.3">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4.25" customHeight="1" x14ac:dyDescent="0.3">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4.25" customHeight="1" x14ac:dyDescent="0.3">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4.25" customHeight="1" x14ac:dyDescent="0.3">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4.25" customHeight="1" x14ac:dyDescent="0.3">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4.25" customHeight="1" x14ac:dyDescent="0.3">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4.25" customHeight="1" x14ac:dyDescent="0.3">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4.25" customHeight="1" x14ac:dyDescent="0.3">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4.25" customHeight="1" x14ac:dyDescent="0.3">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4.25" customHeight="1" x14ac:dyDescent="0.3">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4.25" customHeight="1" x14ac:dyDescent="0.3">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4.25" customHeight="1" x14ac:dyDescent="0.3">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4.25" customHeight="1" x14ac:dyDescent="0.3">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4.25" customHeight="1" x14ac:dyDescent="0.3">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4.25" customHeight="1" x14ac:dyDescent="0.3">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4.25" customHeight="1" x14ac:dyDescent="0.3">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4.25" customHeight="1" x14ac:dyDescent="0.3">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4.25" customHeight="1" x14ac:dyDescent="0.3">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4.25" customHeight="1" x14ac:dyDescent="0.3">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4.25" customHeight="1" x14ac:dyDescent="0.3">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4.25" customHeight="1" x14ac:dyDescent="0.3">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4.25" customHeight="1" x14ac:dyDescent="0.3">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4.25" customHeight="1" x14ac:dyDescent="0.3">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4.25" customHeight="1" x14ac:dyDescent="0.3">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4.25" customHeight="1" x14ac:dyDescent="0.3">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4.25" customHeight="1" x14ac:dyDescent="0.3">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4.25" customHeight="1" x14ac:dyDescent="0.3">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4.25" customHeight="1" x14ac:dyDescent="0.3">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4.25" customHeight="1" x14ac:dyDescent="0.3">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4.25" customHeight="1" x14ac:dyDescent="0.3">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4.25" customHeight="1" x14ac:dyDescent="0.3">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4.25" customHeight="1" x14ac:dyDescent="0.3">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4.25" customHeight="1" x14ac:dyDescent="0.3">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4.25" customHeight="1" x14ac:dyDescent="0.3">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4.25" customHeight="1" x14ac:dyDescent="0.3">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4.25" customHeight="1" x14ac:dyDescent="0.3">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4.25" customHeight="1" x14ac:dyDescent="0.3">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4.25" customHeight="1" x14ac:dyDescent="0.3">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4.25" customHeight="1" x14ac:dyDescent="0.3">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4.25" customHeight="1" x14ac:dyDescent="0.3">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4.25" customHeight="1" x14ac:dyDescent="0.3">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4.25" customHeight="1" x14ac:dyDescent="0.3">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4.25" customHeight="1" x14ac:dyDescent="0.3">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4.25" customHeight="1" x14ac:dyDescent="0.3">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4.25" customHeight="1" x14ac:dyDescent="0.3">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4.25" customHeight="1" x14ac:dyDescent="0.3">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4.25" customHeight="1" x14ac:dyDescent="0.3">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4.25" customHeight="1" x14ac:dyDescent="0.3">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4.25" customHeight="1" x14ac:dyDescent="0.3">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4.25" customHeight="1" x14ac:dyDescent="0.3">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4.25" customHeight="1" x14ac:dyDescent="0.3">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4.25" customHeight="1" x14ac:dyDescent="0.3">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4.25" customHeight="1" x14ac:dyDescent="0.3">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4.25" customHeight="1" x14ac:dyDescent="0.3">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4.25" customHeight="1" x14ac:dyDescent="0.3">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4.25" customHeight="1" x14ac:dyDescent="0.3">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4.25" customHeight="1" x14ac:dyDescent="0.3">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4.25" customHeight="1" x14ac:dyDescent="0.3">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sheetData>
  <sheetProtection algorithmName="SHA-512" hashValue="rjVL7YUNT5UuqP/Q/HXCV0c7Il7U0gRf4aWn4W/bDZCTjejmgaUleQ86M4WixdS0SAjToQaKC8a6jJ8Kxmv+dg==" saltValue="32juI8iO2PNEU4fiAcV/lg=="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7"/>
  <sheetViews>
    <sheetView zoomScaleNormal="100" workbookViewId="0">
      <selection activeCell="I46" sqref="I46"/>
    </sheetView>
  </sheetViews>
  <sheetFormatPr defaultColWidth="12.58203125" defaultRowHeight="15" customHeight="1" outlineLevelRow="1" x14ac:dyDescent="0.3"/>
  <cols>
    <col min="1" max="1" width="45.5" customWidth="1"/>
    <col min="2" max="2" width="12.33203125" customWidth="1"/>
    <col min="3" max="3" width="12.75" customWidth="1"/>
    <col min="4" max="4" width="11.33203125" customWidth="1"/>
    <col min="5" max="6" width="10.83203125" customWidth="1"/>
    <col min="7" max="7" width="12.5" customWidth="1"/>
    <col min="8" max="8" width="7.58203125" customWidth="1"/>
    <col min="9" max="9" width="23.33203125" customWidth="1"/>
    <col min="10" max="11" width="11.5" customWidth="1"/>
    <col min="12" max="15" width="12" customWidth="1"/>
    <col min="16" max="17" width="10.08203125" customWidth="1"/>
    <col min="18" max="19" width="10.33203125" customWidth="1"/>
    <col min="20" max="21" width="10" customWidth="1"/>
    <col min="22" max="34" width="7.58203125" customWidth="1"/>
  </cols>
  <sheetData>
    <row r="1" spans="1:34" s="87" customFormat="1" ht="23.5" customHeight="1" thickBot="1" x14ac:dyDescent="0.35">
      <c r="A1" s="596" t="s">
        <v>0</v>
      </c>
      <c r="B1" s="597"/>
      <c r="C1" s="597"/>
      <c r="D1" s="597"/>
      <c r="E1" s="597"/>
      <c r="F1" s="597"/>
      <c r="G1" s="598"/>
      <c r="H1" s="1"/>
      <c r="P1" s="1"/>
      <c r="Q1" s="1"/>
      <c r="R1" s="1"/>
      <c r="S1" s="1"/>
      <c r="T1" s="1"/>
      <c r="U1" s="1"/>
      <c r="V1" s="1"/>
      <c r="W1" s="1"/>
      <c r="X1" s="1"/>
      <c r="Y1" s="1"/>
      <c r="Z1" s="1"/>
      <c r="AA1" s="1"/>
      <c r="AB1" s="1"/>
      <c r="AC1" s="1"/>
      <c r="AD1" s="1"/>
      <c r="AE1" s="1"/>
      <c r="AF1" s="1"/>
      <c r="AG1" s="1"/>
      <c r="AH1" s="1"/>
    </row>
    <row r="2" spans="1:34" s="133" customFormat="1" ht="32.5" customHeight="1" x14ac:dyDescent="0.3">
      <c r="A2" s="604" t="str">
        <f>"Project Title: " &amp; Instruction!B5</f>
        <v xml:space="preserve">Project Title: </v>
      </c>
      <c r="B2" s="605"/>
      <c r="C2" s="605"/>
      <c r="D2" s="605"/>
      <c r="E2" s="605"/>
      <c r="F2" s="605"/>
      <c r="G2" s="606"/>
      <c r="H2" s="132"/>
    </row>
    <row r="3" spans="1:34" s="133" customFormat="1" ht="17.5" customHeight="1" x14ac:dyDescent="0.3">
      <c r="A3" s="489" t="str">
        <f>"SRS Project ID:  " &amp;Instruction!B4</f>
        <v xml:space="preserve">SRS Project ID:  </v>
      </c>
      <c r="B3" s="490" t="s">
        <v>119</v>
      </c>
      <c r="C3" s="612">
        <f>Instruction!B6</f>
        <v>0</v>
      </c>
      <c r="D3" s="612"/>
      <c r="E3" s="612"/>
      <c r="F3" s="612"/>
      <c r="G3" s="613"/>
      <c r="H3" s="132"/>
    </row>
    <row r="4" spans="1:34" s="133" customFormat="1" ht="16" customHeight="1" x14ac:dyDescent="0.3">
      <c r="A4" s="453" t="str">
        <f>"Sponsor: " &amp; Instruction!B7</f>
        <v xml:space="preserve">Sponsor: </v>
      </c>
      <c r="B4" s="454" t="s">
        <v>325</v>
      </c>
      <c r="C4" s="607">
        <f>Instruction!B13</f>
        <v>0</v>
      </c>
      <c r="D4" s="607"/>
      <c r="E4" s="607"/>
      <c r="F4" s="607"/>
      <c r="G4" s="608"/>
      <c r="H4" s="394"/>
    </row>
    <row r="5" spans="1:34" s="133" customFormat="1" ht="16" customHeight="1" x14ac:dyDescent="0.3">
      <c r="A5" s="477" t="str">
        <f>"Sponsor Program: " &amp; Instruction!B8</f>
        <v xml:space="preserve">Sponsor Program: </v>
      </c>
      <c r="B5" s="454" t="s">
        <v>326</v>
      </c>
      <c r="C5" s="607">
        <f>Instruction!B14</f>
        <v>0</v>
      </c>
      <c r="D5" s="607"/>
      <c r="E5" s="607"/>
      <c r="F5" s="607"/>
      <c r="G5" s="608"/>
      <c r="H5" s="394"/>
    </row>
    <row r="6" spans="1:34" s="133" customFormat="1" ht="16" customHeight="1" thickBot="1" x14ac:dyDescent="0.35">
      <c r="A6" s="491" t="str">
        <f>"Duration: "&amp;Instruction!B12&amp;" Months"</f>
        <v>Duration:  Months</v>
      </c>
      <c r="B6" s="454" t="s">
        <v>121</v>
      </c>
      <c r="C6" s="609">
        <f>Instruction!B11</f>
        <v>0</v>
      </c>
      <c r="D6" s="610"/>
      <c r="E6" s="610"/>
      <c r="F6" s="610"/>
      <c r="G6" s="611"/>
      <c r="H6" s="394"/>
    </row>
    <row r="7" spans="1:34" s="87" customFormat="1" ht="16" customHeight="1" x14ac:dyDescent="0.3">
      <c r="A7" s="90"/>
      <c r="B7" s="538" t="s">
        <v>2</v>
      </c>
      <c r="C7" s="539" t="s">
        <v>3</v>
      </c>
      <c r="D7" s="152" t="s">
        <v>4</v>
      </c>
      <c r="E7" s="539" t="s">
        <v>5</v>
      </c>
      <c r="F7" s="153" t="s">
        <v>6</v>
      </c>
      <c r="G7" s="115"/>
      <c r="H7" s="41"/>
      <c r="P7" s="1"/>
      <c r="Q7" s="1"/>
      <c r="R7" s="1"/>
      <c r="S7" s="1"/>
      <c r="T7" s="1"/>
      <c r="U7" s="1"/>
      <c r="V7" s="1"/>
      <c r="W7" s="1"/>
      <c r="X7" s="1"/>
      <c r="Y7" s="1"/>
      <c r="Z7" s="1"/>
      <c r="AA7" s="1"/>
      <c r="AB7" s="1"/>
      <c r="AC7" s="1"/>
      <c r="AD7" s="1"/>
      <c r="AE7" s="1"/>
      <c r="AF7" s="1"/>
      <c r="AG7" s="1"/>
      <c r="AH7" s="1"/>
    </row>
    <row r="8" spans="1:34" s="87" customFormat="1" ht="16" customHeight="1" x14ac:dyDescent="0.3">
      <c r="A8" s="541" t="s">
        <v>368</v>
      </c>
      <c r="B8" s="547">
        <f>Rate!B2</f>
        <v>0</v>
      </c>
      <c r="C8" s="548" t="str">
        <f>Rate!C2</f>
        <v>N/A</v>
      </c>
      <c r="D8" s="548" t="str">
        <f>Rate!D2</f>
        <v>N/A</v>
      </c>
      <c r="E8" s="548" t="str">
        <f>Rate!E2</f>
        <v>N/A</v>
      </c>
      <c r="F8" s="548" t="str">
        <f>Rate!F2</f>
        <v>N/A</v>
      </c>
      <c r="G8" s="540"/>
      <c r="H8" s="41"/>
      <c r="P8" s="1"/>
      <c r="Q8" s="1"/>
      <c r="R8" s="1"/>
      <c r="S8" s="1"/>
      <c r="T8" s="1"/>
      <c r="U8" s="1"/>
      <c r="V8" s="1"/>
      <c r="W8" s="1"/>
      <c r="X8" s="1"/>
      <c r="Y8" s="1"/>
      <c r="Z8" s="1"/>
      <c r="AA8" s="1"/>
      <c r="AB8" s="1"/>
      <c r="AC8" s="1"/>
      <c r="AD8" s="1"/>
      <c r="AE8" s="1"/>
      <c r="AF8" s="1"/>
      <c r="AG8" s="1"/>
      <c r="AH8" s="1"/>
    </row>
    <row r="9" spans="1:34" ht="19.5" customHeight="1" x14ac:dyDescent="0.3">
      <c r="A9" s="542" t="s">
        <v>369</v>
      </c>
      <c r="B9" s="543" t="e">
        <f>Rate!B3</f>
        <v>#NUM!</v>
      </c>
      <c r="C9" s="544" t="str">
        <f>Rate!C3</f>
        <v>N/A</v>
      </c>
      <c r="D9" s="545" t="str">
        <f>Rate!D3</f>
        <v>N/A</v>
      </c>
      <c r="E9" s="545" t="str">
        <f>Rate!E3</f>
        <v>N/A</v>
      </c>
      <c r="F9" s="546" t="str">
        <f>Rate!F3</f>
        <v>N/A</v>
      </c>
      <c r="G9" s="116" t="s">
        <v>7</v>
      </c>
      <c r="H9" s="41"/>
      <c r="P9" s="1"/>
      <c r="Q9" s="1"/>
      <c r="R9" s="1"/>
      <c r="S9" s="1"/>
      <c r="T9" s="1"/>
      <c r="U9" s="1"/>
      <c r="V9" s="1"/>
      <c r="W9" s="1"/>
      <c r="X9" s="1"/>
      <c r="Y9" s="1"/>
      <c r="Z9" s="1"/>
      <c r="AA9" s="1"/>
      <c r="AB9" s="1"/>
      <c r="AC9" s="1"/>
      <c r="AD9" s="1"/>
      <c r="AE9" s="1"/>
      <c r="AF9" s="1"/>
      <c r="AG9" s="1"/>
      <c r="AH9" s="1"/>
    </row>
    <row r="10" spans="1:34" ht="14.25" customHeight="1" x14ac:dyDescent="0.3">
      <c r="A10" s="35" t="s">
        <v>8</v>
      </c>
      <c r="B10" s="3"/>
      <c r="C10" s="4"/>
      <c r="D10" s="4"/>
      <c r="E10" s="4"/>
      <c r="F10" s="4"/>
      <c r="G10" s="117"/>
      <c r="H10" s="41"/>
      <c r="P10" s="601"/>
      <c r="Q10" s="601"/>
      <c r="R10" s="601"/>
      <c r="S10" s="601"/>
      <c r="T10" s="601"/>
      <c r="U10" s="601"/>
      <c r="V10" s="601"/>
      <c r="W10" s="601"/>
      <c r="X10" s="1"/>
      <c r="Y10" s="1"/>
      <c r="Z10" s="1"/>
      <c r="AA10" s="1"/>
      <c r="AB10" s="1"/>
      <c r="AC10" s="1"/>
      <c r="AD10" s="1"/>
      <c r="AE10" s="1"/>
      <c r="AF10" s="1"/>
      <c r="AG10" s="1"/>
      <c r="AH10" s="1"/>
    </row>
    <row r="11" spans="1:34" ht="14.25" customHeight="1" x14ac:dyDescent="0.35">
      <c r="A11" s="37" t="s">
        <v>9</v>
      </c>
      <c r="B11" s="5"/>
      <c r="C11" s="6"/>
      <c r="D11" s="6"/>
      <c r="E11" s="6"/>
      <c r="F11" s="6"/>
      <c r="G11" s="118"/>
      <c r="H11" s="41"/>
      <c r="P11" s="73"/>
      <c r="Q11" s="73"/>
      <c r="R11" s="73"/>
      <c r="S11" s="73"/>
      <c r="T11" s="73"/>
      <c r="U11" s="73"/>
      <c r="V11" s="73"/>
      <c r="W11" s="73"/>
      <c r="X11" s="1"/>
      <c r="Y11" s="1"/>
      <c r="Z11" s="1"/>
      <c r="AA11" s="1"/>
      <c r="AB11" s="1"/>
      <c r="AC11" s="1"/>
      <c r="AD11" s="1"/>
      <c r="AE11" s="1"/>
      <c r="AF11" s="1"/>
      <c r="AG11" s="1"/>
      <c r="AH11" s="1"/>
    </row>
    <row r="12" spans="1:34" ht="14.25" customHeight="1" x14ac:dyDescent="0.3">
      <c r="A12" s="2" t="str">
        <f>Salary!A8 &amp; " - # Months: " &amp; Salary!E8 &amp; "  " &amp; Salary!F8 &amp; "  " &amp; Salary!G8 &amp; "  " &amp;Salary!H8 &amp;"  " &amp; Salary!I8 &amp; ""</f>
        <v xml:space="preserve">PI:  - # Months:         </v>
      </c>
      <c r="B12" s="7">
        <f>ROUND((Salary!C8/Salary!D8)*Salary!E8*(1),0)</f>
        <v>0</v>
      </c>
      <c r="C12" s="6">
        <f>IF(AND(Instruction!$B$15="Yes",Salary!$C$8/Salary!$D$8*(1+Salary!$A$2)&gt;Rate!B29/12),ROUND(Rate!B29/12*Salary!F8,0),ROUND((Salary!$C$8/Salary!$D$8)*Salary!F8*(1+Salary!$A$2),0))</f>
        <v>0</v>
      </c>
      <c r="D12" s="6">
        <f>IF(AND(Instruction!$B$15="Yes",Salary!$C$8/Salary!$D$8*(1+Salary!$A$2)^2&gt;Rate!B29/12),ROUND(Rate!B29/12*Salary!G8,0),ROUND((Salary!$C$8/Salary!$D$8)*Salary!G8*(1+Salary!$A$2)^2,0))</f>
        <v>0</v>
      </c>
      <c r="E12" s="6">
        <f>IF(AND(Instruction!$B$15="Yes",Salary!$C$8/Salary!$D$8*(1+Salary!$A$2)^3&gt;Rate!B29/12),ROUND(Rate!B29/12*Salary!H8,0),ROUND((Salary!$C$8/Salary!$D$8)*Salary!H8*(1+Salary!$A$2)^3,0))</f>
        <v>0</v>
      </c>
      <c r="F12" s="6">
        <f>IF(AND(Instruction!$B$15="Yes",Salary!$C$8/Salary!$D$8*(1+Salary!$A$2)^4&gt;Rate!B29/12),ROUND(Rate!B29/12*Salary!I8,0),ROUND((Salary!$C$8/Salary!$D$8)*Salary!I8*(1+Salary!$A$2)^4,0))</f>
        <v>0</v>
      </c>
      <c r="G12" s="118">
        <f t="shared" ref="G12:G17" si="0">SUM(B12:F12)</f>
        <v>0</v>
      </c>
      <c r="H12" s="41"/>
      <c r="P12" s="65"/>
      <c r="Q12" s="65"/>
      <c r="R12" s="65"/>
      <c r="S12" s="65"/>
      <c r="T12" s="65"/>
      <c r="U12" s="65"/>
      <c r="V12" s="65"/>
      <c r="W12" s="1"/>
      <c r="X12" s="1"/>
      <c r="Y12" s="1"/>
      <c r="Z12" s="1"/>
      <c r="AA12" s="1"/>
      <c r="AB12" s="1"/>
      <c r="AC12" s="1"/>
      <c r="AD12" s="1"/>
      <c r="AE12" s="1"/>
      <c r="AF12" s="1"/>
      <c r="AG12" s="1"/>
      <c r="AH12" s="1"/>
    </row>
    <row r="13" spans="1:34" ht="14.25" customHeight="1" x14ac:dyDescent="0.3">
      <c r="A13" s="2" t="str">
        <f>Salary!A9 &amp; " - # Months: " &amp; Salary!E9 &amp; "  " &amp; Salary!F9 &amp; "  " &amp; Salary!G9 &amp; "  " &amp;Salary!H9 &amp;"  " &amp; Salary!I9 &amp;""</f>
        <v xml:space="preserve">Co-PI 1: Enter name here - # Months:         </v>
      </c>
      <c r="B13" s="7">
        <f>ROUND((Salary!C9/Salary!D9)*Salary!E9*(1),0)</f>
        <v>0</v>
      </c>
      <c r="C13" s="6">
        <f>IF(AND(Instruction!$B$15="Yes",Salary!$C$9/Salary!$D$9*(1+Salary!$A$2)&gt;Rate!B29/12),ROUND(Rate!B29/12*Salary!F9,0),ROUND((Salary!$C$9/Salary!$D$9)*Salary!F9*(1+Salary!$A$2),0))</f>
        <v>0</v>
      </c>
      <c r="D13" s="6">
        <f>IF(AND(Instruction!$B$15="Yes",Salary!$C$9/Salary!$D$9*(1+Salary!$A$2)^2&gt;Rate!B29/12),ROUND(Rate!B29/12*Salary!G9,0),ROUND((Salary!$C$9/Salary!$D$9)*Salary!G9*(1+Salary!$A$2)^2,0))</f>
        <v>0</v>
      </c>
      <c r="E13" s="6">
        <f>IF(AND(Instruction!$B$15="Yes",Salary!$C$9/Salary!$D$9*(1+Salary!$A$2)^3&gt;Rate!B29/12),ROUND(Rate!B29/12*Salary!H9,0),ROUND((Salary!$C$9/Salary!$D$9)*Salary!H9*(1+Salary!$A$2)^3,0))</f>
        <v>0</v>
      </c>
      <c r="F13" s="6">
        <f>IF(AND(Instruction!$B$15="Yes",Salary!$C$9/Salary!$D$9*(1+Salary!$A$2)^4&gt;Rate!B29/12),ROUND(Rate!B29/12*Salary!I9,0),ROUND((Salary!$C$9/Salary!$D$9)*Salary!I9*(1+Salary!$A$2)^4,0))</f>
        <v>0</v>
      </c>
      <c r="G13" s="118">
        <f t="shared" si="0"/>
        <v>0</v>
      </c>
      <c r="H13" s="41"/>
      <c r="P13" s="65"/>
      <c r="Q13" s="65"/>
      <c r="R13" s="65"/>
      <c r="S13" s="65"/>
      <c r="T13" s="65"/>
      <c r="U13" s="65"/>
      <c r="V13" s="65"/>
      <c r="W13" s="1"/>
      <c r="X13" s="1"/>
      <c r="Y13" s="1"/>
      <c r="Z13" s="1"/>
      <c r="AA13" s="1"/>
      <c r="AB13" s="1"/>
      <c r="AC13" s="1"/>
      <c r="AD13" s="1"/>
      <c r="AE13" s="1"/>
      <c r="AF13" s="1"/>
      <c r="AG13" s="1"/>
      <c r="AH13" s="1"/>
    </row>
    <row r="14" spans="1:34" ht="14.25" customHeight="1" outlineLevel="1" x14ac:dyDescent="0.3">
      <c r="A14" s="2" t="str">
        <f>Salary!A10 &amp; " - # Months: " &amp; Salary!E10 &amp; "  " &amp; Salary!F10 &amp; "  " &amp; Salary!G10 &amp; "  " &amp;Salary!H10 &amp;"  " &amp; Salary!I10 &amp; ""</f>
        <v xml:space="preserve">Co-PI 2: Enter name here - # Months:         </v>
      </c>
      <c r="B14" s="7">
        <f>ROUND((Salary!C10/Salary!D10)*Salary!E10*(1),0)</f>
        <v>0</v>
      </c>
      <c r="C14" s="6">
        <f>IF(AND(Instruction!$B$15="Yes",Salary!$C$10/Salary!$D$10*(1+Salary!$A$2)&gt;Rate!B29/12),ROUND(Rate!B29/12*Salary!F10,0),ROUND((Salary!$C$10/Salary!$D$10)*Salary!F10*(1+Salary!$A$2),0))</f>
        <v>0</v>
      </c>
      <c r="D14" s="6">
        <f>IF(AND(Instruction!$B$15="Yes",Salary!$C$10/Salary!$D$10*(1+Salary!$A$2)^2&gt;Rate!B29/12),ROUND(Rate!B29/12*Salary!G10,0),ROUND((Salary!$C$10/Salary!$D$10)*Salary!G10*(1+Salary!$A$2)^2,0))</f>
        <v>0</v>
      </c>
      <c r="E14" s="6">
        <f>IF(AND(Instruction!$B$15="Yes",Salary!$C$10/Salary!$D$10*(1+Salary!$A$2)^3&gt;Rate!B29/12),ROUND(Rate!B29/12*Salary!H10,0),ROUND((Salary!$C$10/Salary!$D$10)*Salary!H10*(1+Salary!$A$2)^3,0))</f>
        <v>0</v>
      </c>
      <c r="F14" s="6">
        <f>IF(AND(Instruction!$B$15="Yes",Salary!$C$10/Salary!$D$10*(1+Salary!$A$2)^4&gt;Rate!B29/12),ROUND(Rate!B29/12*Salary!I10,0),ROUND((Salary!$C$10/Salary!$D$10)*Salary!I10*(1+Salary!$A$2)^4,0))</f>
        <v>0</v>
      </c>
      <c r="G14" s="118">
        <f t="shared" si="0"/>
        <v>0</v>
      </c>
      <c r="H14" s="41"/>
      <c r="P14" s="65"/>
      <c r="Q14" s="65"/>
      <c r="R14" s="65"/>
      <c r="S14" s="65"/>
      <c r="T14" s="65"/>
      <c r="U14" s="65"/>
      <c r="V14" s="65"/>
      <c r="W14" s="1"/>
      <c r="X14" s="1"/>
      <c r="Y14" s="1"/>
      <c r="Z14" s="1"/>
      <c r="AA14" s="1"/>
      <c r="AB14" s="1"/>
      <c r="AC14" s="1"/>
      <c r="AD14" s="1"/>
      <c r="AE14" s="1"/>
      <c r="AF14" s="1"/>
      <c r="AG14" s="1"/>
      <c r="AH14" s="1"/>
    </row>
    <row r="15" spans="1:34" ht="14.25" customHeight="1" outlineLevel="1" x14ac:dyDescent="0.3">
      <c r="A15" s="2" t="str">
        <f>Salary!A11 &amp; " - # Months: " &amp; Salary!E11 &amp; "  " &amp; Salary!F11 &amp; "  " &amp; Salary!G11 &amp; "  " &amp;Salary!H11 &amp;"  " &amp; Salary!I11 &amp; ""</f>
        <v xml:space="preserve">Co-PI 3: - # Months:         </v>
      </c>
      <c r="B15" s="7">
        <f>ROUND((Salary!C11/Salary!D11)*Salary!E11*(1),0)</f>
        <v>0</v>
      </c>
      <c r="C15" s="6">
        <f>IF(AND(Instruction!$B$15="Yes",Salary!$C$11/Salary!$D$11*(1+Salary!$A$2)&gt;Rate!B29/12),ROUND(Rate!B29/12*Salary!F11,0),ROUND((Salary!$C$11/Salary!$D$11)*Salary!F11*(1+Salary!$A$2),0))</f>
        <v>0</v>
      </c>
      <c r="D15" s="6">
        <f>IF(AND(Instruction!$B$15="Yes",Salary!$C$11/Salary!$D$11*(1+Salary!$A$2)^2&gt;Rate!B29/12),ROUND(Rate!B29/12*Salary!G11,0),ROUND((Salary!$C$11/Salary!$D$11)*Salary!G11*(1+Salary!$A$2)^2,0))</f>
        <v>0</v>
      </c>
      <c r="E15" s="6">
        <f>IF(AND(Instruction!$B$15="Yes",Salary!$C$11/Salary!$D$11*(1+Salary!$A$2)^3&gt;Rate!B29/12),ROUND(Rate!B29/12*Salary!H11,0),ROUND((Salary!$C$11/Salary!$D$11)*Salary!H11*(1+Salary!$A$2)^3,0))</f>
        <v>0</v>
      </c>
      <c r="F15" s="6">
        <f>IF(AND(Instruction!$B$15="Yes",Salary!$C$11/Salary!$D$11*(1+Salary!$A$2)^4&gt;Rate!B29/12),ROUND(Rate!B29/12*Salary!I11,0),ROUND((Salary!$C$11/Salary!$D$11)*Salary!I11*(1+Salary!$A$2)^4,0))</f>
        <v>0</v>
      </c>
      <c r="G15" s="118">
        <f t="shared" si="0"/>
        <v>0</v>
      </c>
      <c r="H15" s="41"/>
      <c r="P15" s="65"/>
      <c r="Q15" s="65"/>
      <c r="R15" s="65"/>
      <c r="S15" s="65"/>
      <c r="T15" s="65"/>
      <c r="U15" s="65"/>
      <c r="V15" s="65"/>
      <c r="W15" s="1"/>
      <c r="X15" s="1"/>
      <c r="Y15" s="1"/>
      <c r="Z15" s="1"/>
      <c r="AA15" s="1"/>
      <c r="AB15" s="1"/>
      <c r="AC15" s="1"/>
      <c r="AD15" s="1"/>
      <c r="AE15" s="1"/>
      <c r="AF15" s="1"/>
      <c r="AG15" s="1"/>
      <c r="AH15" s="1"/>
    </row>
    <row r="16" spans="1:34" ht="14.25" customHeight="1" outlineLevel="1" x14ac:dyDescent="0.3">
      <c r="A16" s="2" t="str">
        <f>Salary!A12 &amp; " - # Months: " &amp; Salary!E12 &amp; "  " &amp; Salary!F12 &amp; "  " &amp; Salary!G12 &amp; "  " &amp;Salary!H12 &amp;"  " &amp; Salary!I12 &amp; ""</f>
        <v xml:space="preserve">Co-PI 4: - # Months:         </v>
      </c>
      <c r="B16" s="7">
        <f>ROUND((Salary!C12/Salary!D12)*Salary!E12*(1),0)</f>
        <v>0</v>
      </c>
      <c r="C16" s="6">
        <f>IF(AND(Instruction!$B$15="Yes",Salary!$C$12/Salary!$D$12*(1+Salary!$A$2)&gt;Rate!B29/12),ROUND(Rate!B29/12*Salary!F12,0),ROUND((Salary!$C$12/Salary!$D$12)*Salary!F12*(1+Salary!$A$2),0))</f>
        <v>0</v>
      </c>
      <c r="D16" s="6">
        <f>IF(AND(Instruction!$B$15="Yes",Salary!$C$12/Salary!$D$12*(1+Salary!$A$2)^2&gt;Rate!B29/12),ROUND(Rate!B29/12*Salary!G12,0),ROUND((Salary!$C$12/Salary!$D$12)*Salary!G12*(1+Salary!$A$2)^2,0))</f>
        <v>0</v>
      </c>
      <c r="E16" s="6">
        <f>IF(AND(Instruction!$B$15="Yes",Salary!$C$12/Salary!$D$12*(1+Salary!$A$2)^3&gt;Rate!B29/12),ROUND(Rate!B29/12*Salary!H12,0),ROUND((Salary!$C$12/Salary!$D$12)*Salary!H12*(1+Salary!$A$2)^3,0))</f>
        <v>0</v>
      </c>
      <c r="F16" s="6">
        <f>IF(AND(Instruction!$B$15="Yes",Salary!$C$12/Salary!$D$12*(1+Salary!$A$2)^4&gt;Rate!B29/12),ROUND(Rate!B29/12*Salary!I12,0),ROUND((Salary!$C$12/Salary!$D$12)*Salary!I12*(1+Salary!$A$2)^4,0))</f>
        <v>0</v>
      </c>
      <c r="G16" s="118">
        <f t="shared" si="0"/>
        <v>0</v>
      </c>
      <c r="H16" s="41"/>
      <c r="P16" s="65"/>
      <c r="Q16" s="65"/>
      <c r="R16" s="65"/>
      <c r="S16" s="65"/>
      <c r="T16" s="65"/>
      <c r="U16" s="65"/>
      <c r="V16" s="65"/>
      <c r="W16" s="1"/>
      <c r="X16" s="1"/>
      <c r="Y16" s="1"/>
      <c r="Z16" s="1"/>
      <c r="AA16" s="1"/>
      <c r="AB16" s="1"/>
      <c r="AC16" s="1"/>
      <c r="AD16" s="1"/>
      <c r="AE16" s="1"/>
      <c r="AF16" s="1"/>
      <c r="AG16" s="1"/>
      <c r="AH16" s="1"/>
    </row>
    <row r="17" spans="1:34" ht="14.25" customHeight="1" outlineLevel="1" x14ac:dyDescent="0.3">
      <c r="A17" s="2" t="str">
        <f>Salary!A13 &amp; " - # Months: " &amp; Salary!E13 &amp; "  " &amp; Salary!F13 &amp; "  " &amp; Salary!G13 &amp; "  " &amp;Salary!H13 &amp;"  " &amp; Salary!I13 &amp; ""</f>
        <v xml:space="preserve">Co-PI 5: - # Months:         </v>
      </c>
      <c r="B17" s="7">
        <f>ROUND((Salary!C13/Salary!D13)*Salary!E13*(1),0)</f>
        <v>0</v>
      </c>
      <c r="C17" s="6">
        <f>IF(AND(Instruction!$B$15="Yes",Salary!$C$13/Salary!$D$13*(1+Salary!$A$2)&gt;Rate!B29/12),ROUND(Rate!B29/12*Salary!F13,0),ROUND((Salary!$C$13/Salary!$D$13)*Salary!F13*(1+Salary!$A$2),0))</f>
        <v>0</v>
      </c>
      <c r="D17" s="6">
        <f>IF(AND(Instruction!$B$15="Yes",Salary!$C$13/Salary!$D$13*(1+Salary!$A$2)^2&gt;Rate!B29/12),ROUND(Rate!B29/12*Salary!G13,0),ROUND((Salary!$C$13/Salary!$D$13)*Salary!G13*(1+Salary!$A$2)^2,0))</f>
        <v>0</v>
      </c>
      <c r="E17" s="6">
        <f>IF(AND(Instruction!$B$15="Yes",Salary!$C$13/Salary!$D$13*(1+Salary!$A$2)^3&gt;Rate!B29/12),ROUND(Rate!B29/12*Salary!H13,0),ROUND((Salary!$C$13/Salary!$D$13)*Salary!H13*(1+Salary!$A$2)^3,0))</f>
        <v>0</v>
      </c>
      <c r="F17" s="6">
        <f>IF(AND(Instruction!$B$15="Yes",Salary!$C$13/Salary!$D$13*(1+Salary!$A$2)^4&gt;Rate!B29/12),ROUND(Rate!B29/12*Salary!I13,0),ROUND((Salary!$C$13/Salary!$D$13)*Salary!I13*(1+Salary!$A$2)^4,0))</f>
        <v>0</v>
      </c>
      <c r="G17" s="118">
        <f t="shared" si="0"/>
        <v>0</v>
      </c>
      <c r="H17" s="41"/>
      <c r="P17" s="1"/>
      <c r="Q17" s="1"/>
      <c r="R17" s="1"/>
      <c r="S17" s="1"/>
      <c r="T17" s="1"/>
      <c r="U17" s="1"/>
      <c r="V17" s="1"/>
      <c r="W17" s="1"/>
      <c r="X17" s="1"/>
      <c r="Y17" s="1"/>
      <c r="Z17" s="1"/>
      <c r="AA17" s="1"/>
      <c r="AB17" s="1"/>
      <c r="AC17" s="1"/>
      <c r="AD17" s="1"/>
      <c r="AE17" s="1"/>
      <c r="AF17" s="1"/>
      <c r="AG17" s="1"/>
      <c r="AH17" s="1"/>
    </row>
    <row r="18" spans="1:34" ht="14.25" customHeight="1" x14ac:dyDescent="0.3">
      <c r="A18" s="37" t="s">
        <v>10</v>
      </c>
      <c r="B18" s="7"/>
      <c r="C18" s="6"/>
      <c r="D18" s="6"/>
      <c r="E18" s="6"/>
      <c r="F18" s="6"/>
      <c r="G18" s="118"/>
      <c r="H18" s="41"/>
      <c r="P18" s="1"/>
      <c r="Q18" s="1"/>
      <c r="R18" s="1"/>
      <c r="S18" s="1"/>
      <c r="T18" s="1"/>
      <c r="U18" s="1"/>
      <c r="V18" s="1"/>
      <c r="W18" s="1"/>
      <c r="X18" s="1"/>
      <c r="Y18" s="1"/>
      <c r="Z18" s="1"/>
      <c r="AA18" s="1"/>
      <c r="AB18" s="1"/>
      <c r="AC18" s="1"/>
      <c r="AD18" s="1"/>
      <c r="AE18" s="1"/>
      <c r="AF18" s="1"/>
      <c r="AG18" s="1"/>
      <c r="AH18" s="1"/>
    </row>
    <row r="19" spans="1:34" ht="14.25" customHeight="1" x14ac:dyDescent="0.3">
      <c r="A19" s="2" t="str">
        <f>Salary!A15 &amp; " - # Months: " &amp; Salary!E15 &amp; "  " &amp; Salary!F15 &amp; "  " &amp; Salary!G15 &amp; "  " &amp;Salary!H15 &amp;"  " &amp; Salary!I15 &amp; ""</f>
        <v xml:space="preserve">PI:  - # Months:         </v>
      </c>
      <c r="B19" s="7">
        <f>ROUND((Salary!C15/Salary!D15)*Salary!E15*(1),0)</f>
        <v>0</v>
      </c>
      <c r="C19" s="6">
        <f>IF(AND(Instruction!$B$15="Yes",Salary!$C$15/Salary!$D$15*(1+Salary!$A$2)&gt;Rate!B29/12),ROUND(Rate!B29/12*Salary!F15,0),ROUND((Salary!$C$15/Salary!$D$15)*Salary!F15*(1+Salary!$A$2),0))</f>
        <v>0</v>
      </c>
      <c r="D19" s="6">
        <f>IF(AND(Instruction!$B$15="Yes",Salary!$C$15/Salary!$D$15*(1+Salary!$A$2)^2&gt;Rate!B29/12),ROUND(Rate!B29/12*Salary!G15,0),ROUND((Salary!$C$15/Salary!$D$15)*Salary!G15*(1+Salary!$A$2)^2,0))</f>
        <v>0</v>
      </c>
      <c r="E19" s="6">
        <f>IF(AND(Instruction!$B$15="Yes",Salary!$C$15/Salary!$D$15*(1+Salary!$A$2)^3&gt;Rate!B29/12),ROUND(Rate!B29/12*Salary!H15,0),ROUND((Salary!$C$15/Salary!$D$15)*Salary!H15*(1+Salary!$A$2)^3,0))</f>
        <v>0</v>
      </c>
      <c r="F19" s="6">
        <f>IF(AND(Instruction!$B$15="Yes",Salary!$C$15/Salary!$D$15*(1+Salary!$A$2)^4&gt;Rate!B29/12),ROUND(Rate!B29/12*Salary!I15,0),ROUND((Salary!$C$15/Salary!$D$15)*Salary!I15*(1+Salary!$A$2)^4,0))</f>
        <v>0</v>
      </c>
      <c r="G19" s="118">
        <f t="shared" ref="G19:G25" si="1">SUM(B19:F19)</f>
        <v>0</v>
      </c>
      <c r="H19" s="41"/>
      <c r="P19" s="1"/>
      <c r="Q19" s="1"/>
      <c r="R19" s="1"/>
      <c r="S19" s="1"/>
      <c r="T19" s="1"/>
      <c r="U19" s="1"/>
      <c r="V19" s="1"/>
      <c r="W19" s="1"/>
      <c r="X19" s="1"/>
      <c r="Y19" s="1"/>
      <c r="Z19" s="1"/>
      <c r="AA19" s="1"/>
      <c r="AB19" s="1"/>
      <c r="AC19" s="1"/>
      <c r="AD19" s="1"/>
      <c r="AE19" s="1"/>
      <c r="AF19" s="1"/>
      <c r="AG19" s="1"/>
      <c r="AH19" s="1"/>
    </row>
    <row r="20" spans="1:34" ht="14.25" customHeight="1" x14ac:dyDescent="0.3">
      <c r="A20" s="2" t="str">
        <f>Salary!A16 &amp; " - # Months: " &amp; Salary!E16 &amp; "  " &amp; Salary!F16 &amp; "  " &amp; Salary!G16 &amp; "  " &amp;Salary!H16 &amp;"  " &amp; Salary!I16 &amp; ""</f>
        <v xml:space="preserve">Co-PI 1: Enter name here - # Months:         </v>
      </c>
      <c r="B20" s="7">
        <f>ROUND((Salary!C16/Salary!D16)*Salary!E16*(1),0)</f>
        <v>0</v>
      </c>
      <c r="C20" s="6">
        <f>IF(AND(Instruction!$B$15="Yes",Salary!$C$16/Salary!$D$16*(1+Salary!$A$2)&gt;Rate!B29/12),ROUND(Rate!B29/12*Salary!F16,0),ROUND((Salary!$C$16/Salary!$D$16)*Salary!F16*(1+Salary!$A$2),0))</f>
        <v>0</v>
      </c>
      <c r="D20" s="6">
        <f>IF(AND(Instruction!$B$15="Yes",Salary!$C$16/Salary!$D$16*(1+Salary!$A$2)^2&gt;Rate!B29/12),ROUND(Rate!B29/12*Salary!G16,0),ROUND((Salary!$C$16/Salary!$D$16)*Salary!G16*(1+Salary!$A$2)^2,0))</f>
        <v>0</v>
      </c>
      <c r="E20" s="6">
        <f>IF(AND(Instruction!$B$15="Yes",Salary!$C$16/Salary!$D$16*(1+Salary!$A$2)^3&gt;Rate!B29/12),ROUND(Rate!B29/12*Salary!H16,0),ROUND((Salary!$C$16/Salary!$D$16)*Salary!H16*(1+Salary!$A$2)^3,0))</f>
        <v>0</v>
      </c>
      <c r="F20" s="6">
        <f>IF(AND(Instruction!$B$15="Yes",Salary!$C$16/Salary!$D$16*(1+Salary!$A$2)^4&gt;Rate!B29/12),ROUND(Rate!B29/12*Salary!I16,0),ROUND((Salary!$C$16/Salary!$D$16)*Salary!I16*(1+Salary!$A$2)^4,0))</f>
        <v>0</v>
      </c>
      <c r="G20" s="118">
        <f t="shared" si="1"/>
        <v>0</v>
      </c>
      <c r="H20" s="41"/>
      <c r="P20" s="1"/>
      <c r="Q20" s="1"/>
      <c r="R20" s="1"/>
      <c r="S20" s="1"/>
      <c r="T20" s="1"/>
      <c r="U20" s="1"/>
      <c r="V20" s="1"/>
      <c r="W20" s="1"/>
      <c r="X20" s="1"/>
      <c r="Y20" s="1"/>
      <c r="Z20" s="1"/>
      <c r="AA20" s="1"/>
      <c r="AB20" s="1"/>
      <c r="AC20" s="1"/>
      <c r="AD20" s="1"/>
      <c r="AE20" s="1"/>
      <c r="AF20" s="1"/>
      <c r="AG20" s="1"/>
      <c r="AH20" s="1"/>
    </row>
    <row r="21" spans="1:34" ht="14.25" customHeight="1" outlineLevel="1" x14ac:dyDescent="0.3">
      <c r="A21" s="2" t="str">
        <f>Salary!A17 &amp; " - # Months: " &amp; Salary!E17 &amp; "  " &amp; Salary!F17 &amp; "  " &amp; Salary!G17 &amp; "  " &amp;Salary!H17 &amp;"  " &amp; Salary!I17 &amp; ""</f>
        <v xml:space="preserve">Co-PI 2: Enter name here - # Months:         </v>
      </c>
      <c r="B21" s="7">
        <f>ROUND((Salary!C17/Salary!D17)*Salary!E17*(1),0)</f>
        <v>0</v>
      </c>
      <c r="C21" s="6">
        <f>IF(AND(Instruction!$B$15="Yes",Salary!$C$17/Salary!$D$17*(1+Salary!$A$2)&gt;Rate!B29/12),ROUND(Rate!B29/12*Salary!F17,0),ROUND((Salary!$C$17/Salary!$D$17)*Salary!F17*(1+Salary!$A$2),0))</f>
        <v>0</v>
      </c>
      <c r="D21" s="6">
        <f>IF(AND(Instruction!$B$15="Yes",Salary!$C$17/Salary!$D$17*(1+Salary!$A$2)^2&gt;Rate!B29/12),ROUND(Rate!B29/12*Salary!G17,0),ROUND((Salary!$C$17/Salary!$D$17)*Salary!G17*(1+Salary!$A$2)^2,0))</f>
        <v>0</v>
      </c>
      <c r="E21" s="6">
        <f>IF(AND(Instruction!$B$15="Yes",Salary!$C$17/Salary!$D$17*(1+Salary!$A$2)^3&gt;Rate!B29/12),ROUND(Rate!B29/12*Salary!H17,0),ROUND((Salary!$C$17/Salary!$D$17)*Salary!H17*(1+Salary!$A$2)^3,0))</f>
        <v>0</v>
      </c>
      <c r="F21" s="6">
        <f>IF(AND(Instruction!$B$15="Yes",Salary!$C$17/Salary!$D$17*(1+Salary!$A$2)^4&gt;Rate!B29/12),ROUND(Rate!B29/12*Salary!I17,0),ROUND((Salary!$C$17/Salary!$D$17)*Salary!I17*(1+Salary!$A$2)^4,0))</f>
        <v>0</v>
      </c>
      <c r="G21" s="118">
        <f t="shared" si="1"/>
        <v>0</v>
      </c>
      <c r="H21" s="41"/>
      <c r="P21" s="1"/>
      <c r="Q21" s="1"/>
      <c r="R21" s="1"/>
      <c r="S21" s="1"/>
      <c r="T21" s="1"/>
      <c r="U21" s="1"/>
      <c r="V21" s="1"/>
      <c r="W21" s="1"/>
      <c r="X21" s="1"/>
      <c r="Y21" s="1"/>
      <c r="Z21" s="1"/>
      <c r="AA21" s="1"/>
      <c r="AB21" s="1"/>
      <c r="AC21" s="1"/>
      <c r="AD21" s="1"/>
      <c r="AE21" s="1"/>
      <c r="AF21" s="1"/>
      <c r="AG21" s="1"/>
      <c r="AH21" s="1"/>
    </row>
    <row r="22" spans="1:34" ht="14.25" customHeight="1" outlineLevel="1" x14ac:dyDescent="0.3">
      <c r="A22" s="2" t="str">
        <f>Salary!A18 &amp; " - # Months: " &amp; Salary!E18 &amp; "  " &amp; Salary!F18 &amp; "  " &amp; Salary!G18 &amp; "  " &amp;Salary!H18 &amp;"  " &amp; Salary!I18 &amp; ""</f>
        <v xml:space="preserve">Co-PI 3: - # Months:         </v>
      </c>
      <c r="B22" s="7">
        <f>ROUND((Salary!C18/Salary!D18)*Salary!E18*(1),0)</f>
        <v>0</v>
      </c>
      <c r="C22" s="6">
        <f>IF(AND(Instruction!$B$15="Yes",Salary!$C$18/Salary!$D$18*(1+Salary!$A$2)&gt;Rate!B29/12),ROUND(Rate!B29/12*Salary!F18,0),ROUND((Salary!$C$18/Salary!$D$18)*Salary!F18*(1+Salary!$A$2),0))</f>
        <v>0</v>
      </c>
      <c r="D22" s="6">
        <f>IF(AND(Instruction!$B$15="Yes",Salary!$C$18/Salary!$D$18*(1+Salary!$A$2)^2&gt;Rate!B29/12),ROUND(Rate!B29/12*Salary!G18,0),ROUND((Salary!$C$18/Salary!$D$18)*Salary!G18*(1+Salary!$A$2)^2,0))</f>
        <v>0</v>
      </c>
      <c r="E22" s="6">
        <f>IF(AND(Instruction!$B$15="Yes",Salary!$C$18/Salary!$D$18*(1+Salary!$A$2)^3&gt;Rate!B29/12),ROUND(Rate!B29/12*Salary!H18,0),ROUND((Salary!$C$18/Salary!$D$18)*Salary!H18*(1+Salary!$A$2)^3,0))</f>
        <v>0</v>
      </c>
      <c r="F22" s="6">
        <f>IF(AND(Instruction!$B$15="Yes",Salary!$C$18/Salary!$D$18*(1+Salary!$A$2)^4&gt;Rate!B29/12),ROUND(Rate!B29/12*Salary!I18,0),ROUND((Salary!$C$18/Salary!$D$18)*Salary!I18*(1+Salary!$A$2)^4,0))</f>
        <v>0</v>
      </c>
      <c r="G22" s="118">
        <f t="shared" si="1"/>
        <v>0</v>
      </c>
      <c r="H22" s="41"/>
      <c r="P22" s="1"/>
      <c r="Q22" s="1"/>
      <c r="R22" s="1"/>
      <c r="S22" s="1"/>
      <c r="T22" s="1"/>
      <c r="U22" s="1"/>
      <c r="V22" s="1"/>
      <c r="W22" s="1"/>
      <c r="X22" s="1"/>
      <c r="Y22" s="1"/>
      <c r="Z22" s="1"/>
      <c r="AA22" s="1"/>
      <c r="AB22" s="1"/>
      <c r="AC22" s="1"/>
      <c r="AD22" s="1"/>
      <c r="AE22" s="1"/>
      <c r="AF22" s="1"/>
      <c r="AG22" s="1"/>
      <c r="AH22" s="1"/>
    </row>
    <row r="23" spans="1:34" ht="14.25" customHeight="1" outlineLevel="1" x14ac:dyDescent="0.3">
      <c r="A23" s="2" t="str">
        <f>Salary!A19 &amp; " -#  Months: " &amp; Salary!E19 &amp; "  " &amp; Salary!F19 &amp; "  " &amp; Salary!G19 &amp; "  " &amp;Salary!H19 &amp;"  " &amp; Salary!I19 &amp; ""</f>
        <v xml:space="preserve">Co-PI 4: -#  Months:         </v>
      </c>
      <c r="B23" s="7">
        <f>ROUND((Salary!C19/Salary!D19)*Salary!E19*(1),0)</f>
        <v>0</v>
      </c>
      <c r="C23" s="6">
        <f>IF(AND(Instruction!$B$15="Yes",Salary!$C$19/Salary!$D$19*(1+Salary!$A$2)&gt;Rate!B29/12),ROUND(Rate!B29/12*Salary!F19,0),ROUND((Salary!$C$19/Salary!$D$19)*Salary!F19*(1+Salary!$A$2),0))</f>
        <v>0</v>
      </c>
      <c r="D23" s="6">
        <f>IF(AND(Instruction!$B$15="Yes",Salary!$C$19/Salary!$D$19*(1+Salary!$A$2)^2&gt;Rate!B29/12),ROUND(Rate!B29/12*Salary!G19,0),ROUND((Salary!$C$19/Salary!$D$19)*Salary!G19*(1+Salary!$A$2)^2,0))</f>
        <v>0</v>
      </c>
      <c r="E23" s="6">
        <f>IF(AND(Instruction!$B$15="Yes",Salary!$C$19/Salary!$D$19*(1+Salary!$A$2)^3&gt;Rate!B29/12),ROUND(Rate!B29/12*Salary!H19,0),ROUND((Salary!$C$19/Salary!$D$19)*Salary!H19*(1+Salary!$A$2)^3,0))</f>
        <v>0</v>
      </c>
      <c r="F23" s="6">
        <f>IF(AND(Instruction!$B$15="Yes",Salary!$C$19/Salary!$D$19*(1+Salary!$A$2)^4&gt;Rate!B29/12),ROUND(Rate!B29/12*Salary!I19,0),ROUND((Salary!$C$19/Salary!$D$19)*Salary!I19*(1+Salary!$A$2)^4,0))</f>
        <v>0</v>
      </c>
      <c r="G23" s="118">
        <f t="shared" si="1"/>
        <v>0</v>
      </c>
      <c r="H23" s="41"/>
      <c r="P23" s="1"/>
      <c r="Q23" s="1"/>
      <c r="R23" s="1"/>
      <c r="S23" s="1"/>
      <c r="T23" s="1"/>
      <c r="U23" s="1"/>
      <c r="V23" s="1"/>
      <c r="W23" s="1"/>
      <c r="X23" s="1"/>
      <c r="Y23" s="1"/>
      <c r="Z23" s="1"/>
      <c r="AA23" s="1"/>
      <c r="AB23" s="1"/>
      <c r="AC23" s="1"/>
      <c r="AD23" s="1"/>
      <c r="AE23" s="1"/>
      <c r="AF23" s="1"/>
      <c r="AG23" s="1"/>
      <c r="AH23" s="1"/>
    </row>
    <row r="24" spans="1:34" ht="14.25" customHeight="1" outlineLevel="1" x14ac:dyDescent="0.3">
      <c r="A24" s="2" t="str">
        <f>Salary!A20 &amp; " - # Months: " &amp; Salary!E20 &amp; "  " &amp; Salary!F20 &amp; "  " &amp; Salary!G20 &amp; "  " &amp;Salary!H20 &amp;"  " &amp; Salary!I20 &amp; ""</f>
        <v xml:space="preserve">Co-PI 5: - # Months:         </v>
      </c>
      <c r="B24" s="7">
        <f>ROUND((Salary!C20/Salary!D20)*Salary!E20*(1),0)</f>
        <v>0</v>
      </c>
      <c r="C24" s="6">
        <f>IF(AND(Instruction!$B$15="Yes",Salary!$C$20/Salary!$D$20*(1+Salary!$A$2)&gt;Rate!B29/12),ROUND(Rate!B29/12*Salary!F20,0),ROUND((Salary!$C$20/Salary!$D$20)*Salary!F20*(1+Salary!$A$2),0))</f>
        <v>0</v>
      </c>
      <c r="D24" s="6">
        <f>IF(AND(Instruction!$B$15="Yes",Salary!$C$20/Salary!$D$20*(1+Salary!$A$2)^2&gt;Rate!B29/12),ROUND(Rate!B29/12*Salary!G20,0),ROUND((Salary!$C$20/Salary!$D$20)*Salary!G20*(1+Salary!$A$2)^2,0))</f>
        <v>0</v>
      </c>
      <c r="E24" s="6">
        <f>IF(AND(Instruction!$B$15="Yes",Salary!$C$20/Salary!$D$20*(1+Salary!$A$2)^3&gt;Rate!B29/12),ROUND(Rate!B29/12*Salary!H20,0),ROUND((Salary!$C$20/Salary!$D$20)*Salary!H20*(1+Salary!$A$2)^3,0))</f>
        <v>0</v>
      </c>
      <c r="F24" s="6">
        <f>IF(AND(Instruction!$B$15="Yes",Salary!$C$20/Salary!$D$20*(1+Salary!$A$2)^4&gt;Rate!B29/12),ROUND(Rate!B29/12*Salary!I20,0),ROUND((Salary!$C$20/Salary!$D$20)*Salary!I20*(1+Salary!$A$2)^4,0))</f>
        <v>0</v>
      </c>
      <c r="G24" s="118">
        <f t="shared" ref="G24" si="2">SUM(B24:F24)</f>
        <v>0</v>
      </c>
      <c r="H24" s="41"/>
      <c r="P24" s="1"/>
      <c r="Q24" s="1"/>
      <c r="R24" s="1"/>
      <c r="S24" s="1"/>
      <c r="T24" s="1"/>
      <c r="U24" s="1"/>
      <c r="V24" s="1"/>
      <c r="W24" s="1"/>
      <c r="X24" s="1"/>
      <c r="Y24" s="1"/>
      <c r="Z24" s="1"/>
      <c r="AA24" s="1"/>
      <c r="AB24" s="1"/>
      <c r="AC24" s="1"/>
      <c r="AD24" s="1"/>
      <c r="AE24" s="1"/>
      <c r="AF24" s="1"/>
      <c r="AG24" s="1"/>
      <c r="AH24" s="1"/>
    </row>
    <row r="25" spans="1:34" ht="14.25" customHeight="1" x14ac:dyDescent="0.3">
      <c r="A25" s="8" t="s">
        <v>11</v>
      </c>
      <c r="B25" s="9">
        <f>SUM(B11:B24)</f>
        <v>0</v>
      </c>
      <c r="C25" s="10">
        <f>SUM(C11:C24)</f>
        <v>0</v>
      </c>
      <c r="D25" s="10">
        <f>SUM(D11:D24)</f>
        <v>0</v>
      </c>
      <c r="E25" s="10">
        <f>SUM(E11:E24)</f>
        <v>0</v>
      </c>
      <c r="F25" s="11">
        <f>SUM(F11:F24)</f>
        <v>0</v>
      </c>
      <c r="G25" s="119">
        <f t="shared" si="1"/>
        <v>0</v>
      </c>
      <c r="H25" s="41"/>
      <c r="P25" s="1"/>
      <c r="Q25" s="1"/>
      <c r="R25" s="1"/>
      <c r="S25" s="1"/>
      <c r="T25" s="1"/>
      <c r="U25" s="1"/>
      <c r="V25" s="1"/>
      <c r="W25" s="1"/>
      <c r="X25" s="1"/>
      <c r="Y25" s="1"/>
      <c r="Z25" s="1"/>
      <c r="AA25" s="1"/>
      <c r="AB25" s="1"/>
      <c r="AC25" s="1"/>
      <c r="AD25" s="1"/>
      <c r="AE25" s="1"/>
      <c r="AF25" s="1"/>
      <c r="AG25" s="1"/>
      <c r="AH25" s="1"/>
    </row>
    <row r="26" spans="1:34" ht="14.25" customHeight="1" x14ac:dyDescent="0.3">
      <c r="A26" s="36" t="s">
        <v>12</v>
      </c>
      <c r="B26" s="5"/>
      <c r="C26" s="6"/>
      <c r="D26" s="6"/>
      <c r="E26" s="6"/>
      <c r="F26" s="6"/>
      <c r="G26" s="118"/>
      <c r="H26" s="41"/>
      <c r="P26" s="1"/>
      <c r="Q26" s="1"/>
      <c r="R26" s="1"/>
      <c r="S26" s="1"/>
      <c r="T26" s="1"/>
      <c r="U26" s="1"/>
      <c r="V26" s="1"/>
      <c r="W26" s="1"/>
      <c r="X26" s="1"/>
      <c r="Y26" s="1"/>
      <c r="Z26" s="1"/>
      <c r="AA26" s="1"/>
      <c r="AB26" s="1"/>
      <c r="AC26" s="1"/>
      <c r="AD26" s="1"/>
      <c r="AE26" s="1"/>
      <c r="AF26" s="1"/>
      <c r="AG26" s="1"/>
      <c r="AH26" s="1"/>
    </row>
    <row r="27" spans="1:34" ht="14.25" customHeight="1" outlineLevel="1" x14ac:dyDescent="0.3">
      <c r="A27" s="12" t="str">
        <f>Salary!A22</f>
        <v xml:space="preserve">Staff 1 </v>
      </c>
      <c r="B27" s="7">
        <f>ROUND((Salary!C22/Salary!D22)*Salary!E22*(1),0)</f>
        <v>0</v>
      </c>
      <c r="C27" s="6">
        <f>ROUND((Salary!C22/Salary!D22)*Salary!F22*(1+Salary!A3),0)</f>
        <v>0</v>
      </c>
      <c r="D27" s="6">
        <f>ROUND((Salary!C22/Salary!D22)*Salary!G22*(1+Salary!A3)^2,0)</f>
        <v>0</v>
      </c>
      <c r="E27" s="6">
        <f>ROUND((Salary!C22/Salary!D22)*Salary!H22*(1+Salary!A3)^3,0)</f>
        <v>0</v>
      </c>
      <c r="F27" s="13">
        <f>ROUND((Salary!C22/Salary!D22)*Salary!I22*(1+Salary!A3)^4,0)</f>
        <v>0</v>
      </c>
      <c r="G27" s="118">
        <f t="shared" ref="G27:G50" si="3">SUM(B27:F27)</f>
        <v>0</v>
      </c>
      <c r="H27" s="41"/>
      <c r="P27" s="1"/>
      <c r="Q27" s="1"/>
      <c r="R27" s="1"/>
      <c r="S27" s="1"/>
      <c r="T27" s="1"/>
      <c r="U27" s="1"/>
      <c r="V27" s="1"/>
      <c r="W27" s="1"/>
      <c r="X27" s="1"/>
      <c r="Y27" s="1"/>
      <c r="Z27" s="1"/>
      <c r="AA27" s="1"/>
      <c r="AB27" s="1"/>
      <c r="AC27" s="1"/>
      <c r="AD27" s="1"/>
      <c r="AE27" s="1"/>
      <c r="AF27" s="1"/>
      <c r="AG27" s="1"/>
      <c r="AH27" s="1"/>
    </row>
    <row r="28" spans="1:34" ht="14.25" customHeight="1" outlineLevel="1" x14ac:dyDescent="0.3">
      <c r="A28" s="12" t="str">
        <f>Salary!A23</f>
        <v xml:space="preserve">Staff 2 </v>
      </c>
      <c r="B28" s="7">
        <f>ROUND((Salary!C23/Salary!D23)*Salary!E23*(1),0)</f>
        <v>0</v>
      </c>
      <c r="C28" s="6">
        <f>ROUND((Salary!C23/Salary!D23)*Salary!F23*(1+Salary!A3),0)</f>
        <v>0</v>
      </c>
      <c r="D28" s="6">
        <f>ROUND((Salary!C23/Salary!D23)*Salary!G23*(1+Salary!A3)^2,0)</f>
        <v>0</v>
      </c>
      <c r="E28" s="6">
        <f>ROUND((Salary!C23/Salary!D23)*Salary!H23*(1+Salary!A3)^3,0)</f>
        <v>0</v>
      </c>
      <c r="F28" s="13">
        <f>ROUND((Salary!C23/Salary!D23)*Salary!I23*(1+Salary!A3)^4,0)</f>
        <v>0</v>
      </c>
      <c r="G28" s="118">
        <f t="shared" si="3"/>
        <v>0</v>
      </c>
      <c r="H28" s="41"/>
      <c r="P28" s="1"/>
      <c r="Q28" s="1"/>
      <c r="R28" s="1"/>
      <c r="S28" s="1"/>
      <c r="T28" s="1"/>
      <c r="U28" s="1"/>
      <c r="V28" s="1"/>
      <c r="W28" s="1"/>
      <c r="X28" s="1"/>
      <c r="Y28" s="1"/>
      <c r="Z28" s="1"/>
      <c r="AA28" s="1"/>
      <c r="AB28" s="1"/>
      <c r="AC28" s="1"/>
      <c r="AD28" s="1"/>
      <c r="AE28" s="1"/>
      <c r="AF28" s="1"/>
      <c r="AG28" s="1"/>
      <c r="AH28" s="1"/>
    </row>
    <row r="29" spans="1:34" ht="14.25" customHeight="1" outlineLevel="1" x14ac:dyDescent="0.3">
      <c r="A29" s="12" t="str">
        <f>Salary!A24</f>
        <v xml:space="preserve">Staff 3 </v>
      </c>
      <c r="B29" s="7">
        <f>ROUND((Salary!C24/Salary!D24)*Salary!E24*(1),0)</f>
        <v>0</v>
      </c>
      <c r="C29" s="6">
        <f>ROUND((Salary!C24/Salary!D24)*Salary!F24*(1+Salary!A3),0)</f>
        <v>0</v>
      </c>
      <c r="D29" s="6">
        <f>ROUND((Salary!C24/Salary!D24)*Salary!G24*(1+Salary!A3)^2,0)</f>
        <v>0</v>
      </c>
      <c r="E29" s="6">
        <f>ROUND((Salary!C24/Salary!D24)*Salary!H24*(1+Salary!A3)^3,0)</f>
        <v>0</v>
      </c>
      <c r="F29" s="13">
        <f>ROUND((Salary!C24/Salary!D24)*Salary!I24*(1+Salary!A3)^4,0)</f>
        <v>0</v>
      </c>
      <c r="G29" s="118">
        <f t="shared" si="3"/>
        <v>0</v>
      </c>
      <c r="H29" s="41"/>
      <c r="P29" s="1"/>
      <c r="Q29" s="1"/>
      <c r="R29" s="1"/>
      <c r="S29" s="1"/>
      <c r="T29" s="1"/>
      <c r="U29" s="1"/>
      <c r="V29" s="1"/>
      <c r="W29" s="1"/>
      <c r="X29" s="1"/>
      <c r="Y29" s="1"/>
      <c r="Z29" s="1"/>
      <c r="AA29" s="1"/>
      <c r="AB29" s="1"/>
      <c r="AC29" s="1"/>
      <c r="AD29" s="1"/>
      <c r="AE29" s="1"/>
      <c r="AF29" s="1"/>
      <c r="AG29" s="1"/>
      <c r="AH29" s="1"/>
    </row>
    <row r="30" spans="1:34" ht="14.25" customHeight="1" outlineLevel="1" x14ac:dyDescent="0.3">
      <c r="A30" s="12" t="str">
        <f>Salary!A25</f>
        <v xml:space="preserve">Staff 4 </v>
      </c>
      <c r="B30" s="7">
        <f>ROUND((Salary!C25/Salary!D25)*Salary!E25*(1),0)</f>
        <v>0</v>
      </c>
      <c r="C30" s="6">
        <f>ROUND((Salary!C25/Salary!D25)*Salary!F25*(1+Salary!A3),0)</f>
        <v>0</v>
      </c>
      <c r="D30" s="6">
        <f>ROUND((Salary!C25/Salary!D25)*Salary!G25*(1+Salary!A3)^2,0)</f>
        <v>0</v>
      </c>
      <c r="E30" s="6">
        <f>ROUND((Salary!C25/Salary!D25)*Salary!H25*(1+Salary!A3)^3,0)</f>
        <v>0</v>
      </c>
      <c r="F30" s="13">
        <f>ROUND((Salary!C25/Salary!D25)*Salary!I25*(1+Salary!A3)^4,0)</f>
        <v>0</v>
      </c>
      <c r="G30" s="118">
        <f t="shared" si="3"/>
        <v>0</v>
      </c>
      <c r="H30" s="41"/>
      <c r="P30" s="1"/>
      <c r="Q30" s="1"/>
      <c r="R30" s="1"/>
      <c r="S30" s="1"/>
      <c r="T30" s="1"/>
      <c r="U30" s="1"/>
      <c r="V30" s="1"/>
      <c r="W30" s="1"/>
      <c r="X30" s="1"/>
      <c r="Y30" s="1"/>
      <c r="Z30" s="1"/>
      <c r="AA30" s="1"/>
      <c r="AB30" s="1"/>
      <c r="AC30" s="1"/>
      <c r="AD30" s="1"/>
      <c r="AE30" s="1"/>
      <c r="AF30" s="1"/>
      <c r="AG30" s="1"/>
      <c r="AH30" s="1"/>
    </row>
    <row r="31" spans="1:34" ht="14.25" customHeight="1" outlineLevel="1" x14ac:dyDescent="0.3">
      <c r="A31" s="12" t="str">
        <f>Salary!A26</f>
        <v>Staff 5</v>
      </c>
      <c r="B31" s="7">
        <f>ROUND((Salary!C26/Salary!D26)*Salary!E26*(1),0)</f>
        <v>0</v>
      </c>
      <c r="C31" s="6">
        <f>ROUND((Salary!C26/Salary!D26)*Salary!F26*(1+Salary!A3),0)</f>
        <v>0</v>
      </c>
      <c r="D31" s="6">
        <f>ROUND((Salary!C26/Salary!D26)*Salary!G26*(1+Salary!A3)^2,0)</f>
        <v>0</v>
      </c>
      <c r="E31" s="6">
        <f>ROUND((Salary!C26/Salary!D26)*Salary!H26*(1+Salary!A3)^3,0)</f>
        <v>0</v>
      </c>
      <c r="F31" s="13">
        <f>ROUND((Salary!C26/Salary!D26)*Salary!I26*(1+Salary!A3)^4,0)</f>
        <v>0</v>
      </c>
      <c r="G31" s="118">
        <f t="shared" si="3"/>
        <v>0</v>
      </c>
      <c r="H31" s="41"/>
      <c r="P31" s="1"/>
      <c r="Q31" s="1"/>
      <c r="R31" s="1"/>
      <c r="S31" s="1"/>
      <c r="T31" s="1"/>
      <c r="U31" s="1"/>
      <c r="V31" s="1"/>
      <c r="W31" s="1"/>
      <c r="X31" s="1"/>
      <c r="Y31" s="1"/>
      <c r="Z31" s="1"/>
      <c r="AA31" s="1"/>
      <c r="AB31" s="1"/>
      <c r="AC31" s="1"/>
      <c r="AD31" s="1"/>
      <c r="AE31" s="1"/>
      <c r="AF31" s="1"/>
      <c r="AG31" s="1"/>
      <c r="AH31" s="1"/>
    </row>
    <row r="32" spans="1:34" ht="14.25" customHeight="1" outlineLevel="1" x14ac:dyDescent="0.3">
      <c r="A32" s="12" t="str">
        <f>Salary!A27</f>
        <v>Post-doc 1</v>
      </c>
      <c r="B32" s="7">
        <f>ROUND((Salary!C27/Salary!D27)*Salary!E27*(1),0)</f>
        <v>0</v>
      </c>
      <c r="C32" s="6">
        <f>ROUND((Salary!C27/Salary!D27)*Salary!F27*(1+Salary!A3),0)</f>
        <v>0</v>
      </c>
      <c r="D32" s="6">
        <f>ROUND((Salary!C27/Salary!D27)*Salary!G27*(1+Salary!A3)^2,0)</f>
        <v>0</v>
      </c>
      <c r="E32" s="6">
        <f>ROUND((Salary!C27/Salary!D27)*Salary!H27*(1+Salary!A3)^3,0)</f>
        <v>0</v>
      </c>
      <c r="F32" s="13">
        <f>ROUND((Salary!C27/Salary!D27)*Salary!I27*(1+Salary!A3)^4,0)</f>
        <v>0</v>
      </c>
      <c r="G32" s="118">
        <f t="shared" ref="G32" si="4">SUM(B32:F32)</f>
        <v>0</v>
      </c>
      <c r="H32" s="41"/>
      <c r="P32" s="1"/>
      <c r="Q32" s="1"/>
      <c r="R32" s="1"/>
      <c r="S32" s="1"/>
      <c r="T32" s="1"/>
      <c r="U32" s="1"/>
      <c r="V32" s="1"/>
      <c r="W32" s="1"/>
      <c r="X32" s="1"/>
      <c r="Y32" s="1"/>
      <c r="Z32" s="1"/>
      <c r="AA32" s="1"/>
      <c r="AB32" s="1"/>
      <c r="AC32" s="1"/>
      <c r="AD32" s="1"/>
      <c r="AE32" s="1"/>
      <c r="AF32" s="1"/>
      <c r="AG32" s="1"/>
      <c r="AH32" s="1"/>
    </row>
    <row r="33" spans="1:34" ht="14.25" customHeight="1" outlineLevel="1" x14ac:dyDescent="0.3">
      <c r="A33" s="12" t="str">
        <f>Salary!A28</f>
        <v>Post-doc 2</v>
      </c>
      <c r="B33" s="7">
        <f>ROUND((Salary!C28/Salary!D28)*Salary!E28*(1),0)</f>
        <v>0</v>
      </c>
      <c r="C33" s="6">
        <f>ROUND((Salary!C28/Salary!D28)*Salary!F28*(1+Salary!A3),0)</f>
        <v>0</v>
      </c>
      <c r="D33" s="6">
        <f>ROUND((Salary!C28/Salary!D28)*Salary!G28*(1+Salary!A3)^2,0)</f>
        <v>0</v>
      </c>
      <c r="E33" s="6">
        <f>ROUND((Salary!C28/Salary!D28)*Salary!H28*(1+Salary!A3)^3,0)</f>
        <v>0</v>
      </c>
      <c r="F33" s="13">
        <f>ROUND((Salary!C28/Salary!D28)*Salary!I28*(1+Salary!A3)^4,0)</f>
        <v>0</v>
      </c>
      <c r="G33" s="118">
        <f t="shared" ref="G33:G35" si="5">SUM(B33:F33)</f>
        <v>0</v>
      </c>
      <c r="H33" s="41"/>
      <c r="P33" s="1"/>
      <c r="Q33" s="1"/>
      <c r="R33" s="1"/>
      <c r="S33" s="1"/>
      <c r="T33" s="1"/>
      <c r="U33" s="1"/>
      <c r="V33" s="1"/>
      <c r="W33" s="1"/>
      <c r="X33" s="1"/>
      <c r="Y33" s="1"/>
      <c r="Z33" s="1"/>
      <c r="AA33" s="1"/>
      <c r="AB33" s="1"/>
      <c r="AC33" s="1"/>
      <c r="AD33" s="1"/>
      <c r="AE33" s="1"/>
      <c r="AF33" s="1"/>
      <c r="AG33" s="1"/>
      <c r="AH33" s="1"/>
    </row>
    <row r="34" spans="1:34" ht="14.25" customHeight="1" outlineLevel="1" x14ac:dyDescent="0.3">
      <c r="A34" s="12" t="str">
        <f>Salary!A29</f>
        <v>Post-doc 3</v>
      </c>
      <c r="B34" s="7">
        <f>ROUND((Salary!C29/Salary!D29)*Salary!E29*(1),0)</f>
        <v>0</v>
      </c>
      <c r="C34" s="6">
        <f>ROUND((Salary!C29/Salary!D29)*Salary!F29*(1+Salary!A3),0)</f>
        <v>0</v>
      </c>
      <c r="D34" s="6">
        <f>ROUND((Salary!C29/Salary!D29)*Salary!G29*(1+Salary!A3)^2,0)</f>
        <v>0</v>
      </c>
      <c r="E34" s="6">
        <f>ROUND((Salary!C29/Salary!D29)*Salary!H29*(1+Salary!A3)^3,0)</f>
        <v>0</v>
      </c>
      <c r="F34" s="13">
        <f>ROUND((Salary!C29/Salary!D29)*Salary!I29*(1+Salary!A3)^4,0)</f>
        <v>0</v>
      </c>
      <c r="G34" s="118">
        <f t="shared" si="5"/>
        <v>0</v>
      </c>
      <c r="H34" s="41"/>
      <c r="P34" s="1"/>
      <c r="Q34" s="1"/>
      <c r="R34" s="1"/>
      <c r="S34" s="1"/>
      <c r="T34" s="1"/>
      <c r="U34" s="1"/>
      <c r="V34" s="1"/>
      <c r="W34" s="1"/>
      <c r="X34" s="1"/>
      <c r="Y34" s="1"/>
      <c r="Z34" s="1"/>
      <c r="AA34" s="1"/>
      <c r="AB34" s="1"/>
      <c r="AC34" s="1"/>
      <c r="AD34" s="1"/>
      <c r="AE34" s="1"/>
      <c r="AF34" s="1"/>
      <c r="AG34" s="1"/>
      <c r="AH34" s="1"/>
    </row>
    <row r="35" spans="1:34" ht="14.25" customHeight="1" outlineLevel="1" x14ac:dyDescent="0.3">
      <c r="A35" s="12" t="str">
        <f>Salary!A31</f>
        <v>Faculty 1 (Summer)</v>
      </c>
      <c r="B35" s="7">
        <f>ROUND((Salary!C31/Salary!D31)*Salary!E31*(1),0)</f>
        <v>0</v>
      </c>
      <c r="C35" s="6">
        <f>ROUND((Salary!C31/Salary!D31)*Salary!F31*(1+Salary!A3),0)</f>
        <v>0</v>
      </c>
      <c r="D35" s="6">
        <f>ROUND((Salary!C31/Salary!D31)*Salary!G31*(1+Salary!A3)^2,0)</f>
        <v>0</v>
      </c>
      <c r="E35" s="6">
        <f>ROUND((Salary!C31/Salary!D31)*Salary!H31*(1+Salary!A3)^3,0)</f>
        <v>0</v>
      </c>
      <c r="F35" s="13">
        <f>ROUND((Salary!C31/Salary!D31)*Salary!I31*(1+Salary!A3)^4,0)</f>
        <v>0</v>
      </c>
      <c r="G35" s="118">
        <f t="shared" si="5"/>
        <v>0</v>
      </c>
      <c r="H35" s="41"/>
      <c r="P35" s="1"/>
      <c r="Q35" s="1"/>
      <c r="R35" s="1"/>
      <c r="S35" s="1"/>
      <c r="T35" s="1"/>
      <c r="U35" s="1"/>
      <c r="V35" s="1"/>
      <c r="W35" s="1"/>
      <c r="X35" s="1"/>
      <c r="Y35" s="1"/>
      <c r="Z35" s="1"/>
      <c r="AA35" s="1"/>
      <c r="AB35" s="1"/>
      <c r="AC35" s="1"/>
      <c r="AD35" s="1"/>
      <c r="AE35" s="1"/>
      <c r="AF35" s="1"/>
      <c r="AG35" s="1"/>
      <c r="AH35" s="1"/>
    </row>
    <row r="36" spans="1:34" ht="14.25" customHeight="1" outlineLevel="1" x14ac:dyDescent="0.3">
      <c r="A36" s="12" t="str">
        <f>Salary!A32</f>
        <v>Faculty 2 (Summer)</v>
      </c>
      <c r="B36" s="7">
        <f>ROUND((Salary!C32/Salary!D32)*Salary!E32*(1),0)</f>
        <v>0</v>
      </c>
      <c r="C36" s="6">
        <f>ROUND((Salary!C32/Salary!D32)*Salary!F32*(1+Salary!A3),0)</f>
        <v>0</v>
      </c>
      <c r="D36" s="6">
        <f>ROUND((Salary!C32/Salary!D32)*Salary!G32*(1+Salary!A3)^2,0)</f>
        <v>0</v>
      </c>
      <c r="E36" s="6">
        <f>ROUND((Salary!C32/Salary!D32)*Salary!H32*(1+Salary!A3)^3,0)</f>
        <v>0</v>
      </c>
      <c r="F36" s="13">
        <f>ROUND((Salary!C32/Salary!D32)*Salary!I32*(1+Salary!A3)^4,0)</f>
        <v>0</v>
      </c>
      <c r="G36" s="118">
        <f t="shared" ref="G36:G39" si="6">SUM(B36:F36)</f>
        <v>0</v>
      </c>
      <c r="H36" s="41"/>
      <c r="P36" s="1"/>
      <c r="Q36" s="1"/>
      <c r="R36" s="1"/>
      <c r="S36" s="1"/>
      <c r="T36" s="1"/>
      <c r="U36" s="1"/>
      <c r="V36" s="1"/>
      <c r="W36" s="1"/>
      <c r="X36" s="1"/>
      <c r="Y36" s="1"/>
      <c r="Z36" s="1"/>
      <c r="AA36" s="1"/>
      <c r="AB36" s="1"/>
      <c r="AC36" s="1"/>
      <c r="AD36" s="1"/>
      <c r="AE36" s="1"/>
      <c r="AF36" s="1"/>
      <c r="AG36" s="1"/>
      <c r="AH36" s="1"/>
    </row>
    <row r="37" spans="1:34" ht="14.25" customHeight="1" outlineLevel="1" x14ac:dyDescent="0.3">
      <c r="A37" s="12" t="str">
        <f>Salary!A33</f>
        <v>Faculty 3 (Summer)</v>
      </c>
      <c r="B37" s="7">
        <f>ROUND((Salary!C33/Salary!D33)*Salary!E33*(1),0)</f>
        <v>0</v>
      </c>
      <c r="C37" s="6">
        <f>ROUND((Salary!C33/Salary!D33)*Salary!F33*(1+Salary!A3),0)</f>
        <v>0</v>
      </c>
      <c r="D37" s="6">
        <f>ROUND((Salary!C33/Salary!D33)*Salary!G33*(1+Salary!A3)^2,0)</f>
        <v>0</v>
      </c>
      <c r="E37" s="6">
        <f>ROUND((Salary!C33/Salary!D33)*Salary!H33*(1+Salary!A3)^3,0)</f>
        <v>0</v>
      </c>
      <c r="F37" s="13">
        <f>ROUND((Salary!C33/Salary!D33)*Salary!I33*(1+Salary!A3)^4,0)</f>
        <v>0</v>
      </c>
      <c r="G37" s="118">
        <f t="shared" si="6"/>
        <v>0</v>
      </c>
      <c r="H37" s="41"/>
      <c r="P37" s="1"/>
      <c r="Q37" s="1"/>
      <c r="R37" s="1"/>
      <c r="S37" s="1"/>
      <c r="T37" s="1"/>
      <c r="U37" s="1"/>
      <c r="V37" s="1"/>
      <c r="W37" s="1"/>
      <c r="X37" s="1"/>
      <c r="Y37" s="1"/>
      <c r="Z37" s="1"/>
      <c r="AA37" s="1"/>
      <c r="AB37" s="1"/>
      <c r="AC37" s="1"/>
      <c r="AD37" s="1"/>
      <c r="AE37" s="1"/>
      <c r="AF37" s="1"/>
      <c r="AG37" s="1"/>
      <c r="AH37" s="1"/>
    </row>
    <row r="38" spans="1:34" ht="14.25" customHeight="1" outlineLevel="1" x14ac:dyDescent="0.3">
      <c r="A38" s="12" t="str">
        <f>Salary!A34</f>
        <v>Faculty 4 (Summer)</v>
      </c>
      <c r="B38" s="7">
        <f>ROUND((Salary!C34/Salary!D34)*Salary!E34*(1),0)</f>
        <v>0</v>
      </c>
      <c r="C38" s="6">
        <f>ROUND((Salary!C34/Salary!D34)*Salary!F34*(1+Salary!A3),0)</f>
        <v>0</v>
      </c>
      <c r="D38" s="6">
        <f>ROUND((Salary!C34/Salary!D34)*Salary!G34*(1+Salary!A3)^2,0)</f>
        <v>0</v>
      </c>
      <c r="E38" s="6">
        <f>ROUND((Salary!C34/Salary!D34)*Salary!H34*(1+Salary!A3)^3,0)</f>
        <v>0</v>
      </c>
      <c r="F38" s="13">
        <f>ROUND((Salary!C34/Salary!D34)*Salary!I34*(1+Salary!A3)^4,0)</f>
        <v>0</v>
      </c>
      <c r="G38" s="118">
        <f t="shared" si="6"/>
        <v>0</v>
      </c>
      <c r="H38" s="41"/>
      <c r="P38" s="1"/>
      <c r="Q38" s="1"/>
      <c r="R38" s="1"/>
      <c r="S38" s="1"/>
      <c r="T38" s="1"/>
      <c r="U38" s="1"/>
      <c r="V38" s="1"/>
      <c r="W38" s="1"/>
      <c r="X38" s="1"/>
      <c r="Y38" s="1"/>
      <c r="Z38" s="1"/>
      <c r="AA38" s="1"/>
      <c r="AB38" s="1"/>
      <c r="AC38" s="1"/>
      <c r="AD38" s="1"/>
      <c r="AE38" s="1"/>
      <c r="AF38" s="1"/>
      <c r="AG38" s="1"/>
      <c r="AH38" s="1"/>
    </row>
    <row r="39" spans="1:34" ht="14.25" customHeight="1" outlineLevel="1" x14ac:dyDescent="0.3">
      <c r="A39" s="12" t="str">
        <f>Salary!A35</f>
        <v>Faculty 5 (Summer)</v>
      </c>
      <c r="B39" s="7">
        <f>ROUND((Salary!C35/Salary!D35)*Salary!E35*(1),0)</f>
        <v>0</v>
      </c>
      <c r="C39" s="6">
        <f>ROUND((Salary!C35/Salary!D35)*Salary!F35*(1+Salary!A3),0)</f>
        <v>0</v>
      </c>
      <c r="D39" s="6">
        <f>ROUND((Salary!C35/Salary!D35)*Salary!G35*(1+Salary!A3)^2,0)</f>
        <v>0</v>
      </c>
      <c r="E39" s="6">
        <f>ROUND((Salary!C35/Salary!D35)*Salary!H35*(1+Salary!A3)^3,0)</f>
        <v>0</v>
      </c>
      <c r="F39" s="13">
        <f>ROUND((Salary!C35/Salary!D35)*Salary!I35*(1+Salary!A3)^4,0)</f>
        <v>0</v>
      </c>
      <c r="G39" s="118">
        <f t="shared" si="6"/>
        <v>0</v>
      </c>
      <c r="H39" s="41"/>
      <c r="P39" s="1"/>
      <c r="Q39" s="1"/>
      <c r="R39" s="1"/>
      <c r="S39" s="1"/>
      <c r="T39" s="1"/>
      <c r="U39" s="1"/>
      <c r="V39" s="1"/>
      <c r="W39" s="1"/>
      <c r="X39" s="1"/>
      <c r="Y39" s="1"/>
      <c r="Z39" s="1"/>
      <c r="AA39" s="1"/>
      <c r="AB39" s="1"/>
      <c r="AC39" s="1"/>
      <c r="AD39" s="1"/>
      <c r="AE39" s="1"/>
      <c r="AF39" s="1"/>
      <c r="AG39" s="1"/>
      <c r="AH39" s="1"/>
    </row>
    <row r="40" spans="1:34" ht="14.25" customHeight="1" x14ac:dyDescent="0.3">
      <c r="A40" s="12" t="str">
        <f>Salary!A39</f>
        <v>GRA Student 1</v>
      </c>
      <c r="B40" s="7">
        <f>Salary!B39</f>
        <v>0</v>
      </c>
      <c r="C40" s="561">
        <f>Salary!C39</f>
        <v>0</v>
      </c>
      <c r="D40" s="14">
        <f>Salary!D39</f>
        <v>0</v>
      </c>
      <c r="E40" s="14">
        <f>Salary!E39</f>
        <v>0</v>
      </c>
      <c r="F40" s="14">
        <f>Salary!F39</f>
        <v>0</v>
      </c>
      <c r="G40" s="118">
        <f t="shared" si="3"/>
        <v>0</v>
      </c>
      <c r="H40" s="41"/>
      <c r="P40" s="1"/>
      <c r="Q40" s="1"/>
      <c r="R40" s="1"/>
      <c r="S40" s="1"/>
      <c r="T40" s="1"/>
      <c r="U40" s="1"/>
      <c r="V40" s="1"/>
      <c r="W40" s="1"/>
      <c r="X40" s="1"/>
      <c r="Y40" s="1"/>
      <c r="Z40" s="1"/>
      <c r="AA40" s="1"/>
      <c r="AB40" s="1"/>
      <c r="AC40" s="1"/>
      <c r="AD40" s="1"/>
      <c r="AE40" s="1"/>
      <c r="AF40" s="1"/>
      <c r="AG40" s="1"/>
      <c r="AH40" s="1"/>
    </row>
    <row r="41" spans="1:34" ht="14.25" customHeight="1" outlineLevel="1" x14ac:dyDescent="0.3">
      <c r="A41" s="12" t="str">
        <f>Salary!A40</f>
        <v>GRA Student 2</v>
      </c>
      <c r="B41" s="7">
        <f>Salary!B40</f>
        <v>0</v>
      </c>
      <c r="C41" s="14">
        <f>Salary!C40</f>
        <v>0</v>
      </c>
      <c r="D41" s="14">
        <f>Salary!D40</f>
        <v>0</v>
      </c>
      <c r="E41" s="14">
        <f>Salary!E40</f>
        <v>0</v>
      </c>
      <c r="F41" s="14">
        <f>Salary!F40</f>
        <v>0</v>
      </c>
      <c r="G41" s="118">
        <f t="shared" si="3"/>
        <v>0</v>
      </c>
      <c r="H41" s="41"/>
      <c r="P41" s="1"/>
      <c r="Q41" s="1"/>
      <c r="R41" s="1"/>
      <c r="S41" s="1"/>
      <c r="T41" s="1"/>
      <c r="U41" s="1"/>
      <c r="V41" s="1"/>
      <c r="W41" s="1"/>
      <c r="X41" s="1"/>
      <c r="Y41" s="1"/>
      <c r="Z41" s="1"/>
      <c r="AA41" s="1"/>
      <c r="AB41" s="1"/>
      <c r="AC41" s="1"/>
      <c r="AD41" s="1"/>
      <c r="AE41" s="1"/>
      <c r="AF41" s="1"/>
      <c r="AG41" s="1"/>
      <c r="AH41" s="1"/>
    </row>
    <row r="42" spans="1:34" ht="14.25" customHeight="1" outlineLevel="1" x14ac:dyDescent="0.3">
      <c r="A42" s="12" t="str">
        <f>Salary!A41</f>
        <v>GRA Student 3</v>
      </c>
      <c r="B42" s="7">
        <f>Salary!B41</f>
        <v>0</v>
      </c>
      <c r="C42" s="14">
        <f>Salary!C41</f>
        <v>0</v>
      </c>
      <c r="D42" s="14">
        <f>Salary!D41</f>
        <v>0</v>
      </c>
      <c r="E42" s="14">
        <f>Salary!E41</f>
        <v>0</v>
      </c>
      <c r="F42" s="14">
        <f>Salary!F41</f>
        <v>0</v>
      </c>
      <c r="G42" s="118">
        <f t="shared" si="3"/>
        <v>0</v>
      </c>
      <c r="H42" s="41"/>
      <c r="P42" s="1"/>
      <c r="Q42" s="1"/>
      <c r="R42" s="1"/>
      <c r="S42" s="1"/>
      <c r="T42" s="1"/>
      <c r="U42" s="1"/>
      <c r="V42" s="1"/>
      <c r="W42" s="1"/>
      <c r="X42" s="1"/>
      <c r="Y42" s="1"/>
      <c r="Z42" s="1"/>
      <c r="AA42" s="1"/>
      <c r="AB42" s="1"/>
      <c r="AC42" s="1"/>
      <c r="AD42" s="1"/>
      <c r="AE42" s="1"/>
      <c r="AF42" s="1"/>
      <c r="AG42" s="1"/>
      <c r="AH42" s="1"/>
    </row>
    <row r="43" spans="1:34" ht="14.25" customHeight="1" outlineLevel="1" x14ac:dyDescent="0.3">
      <c r="A43" s="12" t="str">
        <f>Salary!A42</f>
        <v>GRA Student 4</v>
      </c>
      <c r="B43" s="7">
        <f>Salary!B42</f>
        <v>0</v>
      </c>
      <c r="C43" s="14">
        <f>Salary!C42</f>
        <v>0</v>
      </c>
      <c r="D43" s="14">
        <f>Salary!D42</f>
        <v>0</v>
      </c>
      <c r="E43" s="14">
        <f>Salary!E42</f>
        <v>0</v>
      </c>
      <c r="F43" s="14">
        <f>Salary!F42</f>
        <v>0</v>
      </c>
      <c r="G43" s="118">
        <f t="shared" ref="G43" si="7">SUM(B43:F43)</f>
        <v>0</v>
      </c>
      <c r="H43" s="41"/>
      <c r="P43" s="1"/>
      <c r="Q43" s="1"/>
      <c r="R43" s="1"/>
      <c r="S43" s="1"/>
      <c r="T43" s="1"/>
      <c r="U43" s="1"/>
      <c r="V43" s="1"/>
      <c r="W43" s="1"/>
      <c r="X43" s="1"/>
      <c r="Y43" s="1"/>
      <c r="Z43" s="1"/>
      <c r="AA43" s="1"/>
      <c r="AB43" s="1"/>
      <c r="AC43" s="1"/>
      <c r="AD43" s="1"/>
      <c r="AE43" s="1"/>
      <c r="AF43" s="1"/>
      <c r="AG43" s="1"/>
      <c r="AH43" s="1"/>
    </row>
    <row r="44" spans="1:34" ht="14.25" customHeight="1" outlineLevel="1" x14ac:dyDescent="0.3">
      <c r="A44" s="12" t="s">
        <v>212</v>
      </c>
      <c r="B44" s="549">
        <f>(Salary!C51*Salary!D51*Salary!E51)+(Salary!C52*Salary!D52*Salary!E52)+(Salary!C53*Salary!D53*Salary!E53)+(Salary!C54*Salary!D54*Salary!E54)+(Salary!C55*Salary!D55*Salary!E55)</f>
        <v>0</v>
      </c>
      <c r="C44" s="552">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4" s="553">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4" s="42">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4" s="1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4" s="118">
        <f t="shared" si="3"/>
        <v>0</v>
      </c>
      <c r="H44" s="41"/>
      <c r="P44" s="1"/>
      <c r="Q44" s="1"/>
      <c r="R44" s="1"/>
      <c r="S44" s="1"/>
      <c r="T44" s="1"/>
      <c r="U44" s="1"/>
      <c r="V44" s="1"/>
      <c r="W44" s="1"/>
      <c r="X44" s="1"/>
      <c r="Y44" s="1"/>
      <c r="Z44" s="1"/>
      <c r="AA44" s="1"/>
      <c r="AB44" s="1"/>
      <c r="AC44" s="1"/>
      <c r="AD44" s="1"/>
      <c r="AE44" s="1"/>
      <c r="AF44" s="1"/>
      <c r="AG44" s="1"/>
      <c r="AH44" s="1"/>
    </row>
    <row r="45" spans="1:34" ht="14.25" customHeight="1" x14ac:dyDescent="0.3">
      <c r="A45" s="551" t="s">
        <v>190</v>
      </c>
      <c r="B45" s="550">
        <f>(Salary!B59*Salary!C59*Salary!D59*Salary!E59)+(Salary!B60*Salary!C60*Salary!D60*Salary!E60)+(Salary!B61*Salary!C61*Salary!D61*Salary!E61)+(Salary!B62*Salary!C62*Salary!D62*Salary!E62)+(Salary!B63*Salary!C63*Salary!D63*Salary!E63)</f>
        <v>0</v>
      </c>
      <c r="C45" s="556">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5" s="556">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5" s="555">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5" s="554">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5" s="118">
        <f t="shared" si="3"/>
        <v>0</v>
      </c>
      <c r="H45" s="41"/>
      <c r="P45" s="1"/>
      <c r="Q45" s="1"/>
      <c r="R45" s="1"/>
      <c r="S45" s="1"/>
      <c r="T45" s="1"/>
      <c r="U45" s="1"/>
      <c r="V45" s="1"/>
      <c r="W45" s="1"/>
      <c r="X45" s="1"/>
      <c r="Y45" s="1"/>
      <c r="Z45" s="1"/>
      <c r="AA45" s="1"/>
      <c r="AB45" s="1"/>
      <c r="AC45" s="1"/>
      <c r="AD45" s="1"/>
      <c r="AE45" s="1"/>
      <c r="AF45" s="1"/>
      <c r="AG45" s="1"/>
      <c r="AH45" s="1"/>
    </row>
    <row r="46" spans="1:34" ht="14.25" customHeight="1" x14ac:dyDescent="0.3">
      <c r="A46" s="15" t="s">
        <v>13</v>
      </c>
      <c r="B46" s="16">
        <f>SUM(B26:B45)</f>
        <v>0</v>
      </c>
      <c r="C46" s="17">
        <f>SUM(C26:C45)</f>
        <v>0</v>
      </c>
      <c r="D46" s="17">
        <f>SUM(D26:D45)</f>
        <v>0</v>
      </c>
      <c r="E46" s="17">
        <f>SUM(E26:E45)</f>
        <v>0</v>
      </c>
      <c r="F46" s="17">
        <f>SUM(F26:F45)</f>
        <v>0</v>
      </c>
      <c r="G46" s="120">
        <f t="shared" si="3"/>
        <v>0</v>
      </c>
      <c r="H46" s="41"/>
      <c r="P46" s="1"/>
      <c r="Q46" s="1"/>
      <c r="R46" s="1"/>
      <c r="S46" s="1"/>
      <c r="T46" s="1"/>
      <c r="U46" s="1"/>
      <c r="V46" s="1"/>
      <c r="W46" s="1"/>
      <c r="X46" s="1"/>
      <c r="Y46" s="1"/>
      <c r="Z46" s="1"/>
      <c r="AA46" s="1"/>
      <c r="AB46" s="1"/>
      <c r="AC46" s="1"/>
      <c r="AD46" s="1"/>
      <c r="AE46" s="1"/>
      <c r="AF46" s="1"/>
      <c r="AG46" s="1"/>
      <c r="AH46" s="1"/>
    </row>
    <row r="47" spans="1:34" ht="14.25" customHeight="1" x14ac:dyDescent="0.3">
      <c r="A47" s="15" t="s">
        <v>14</v>
      </c>
      <c r="B47" s="16">
        <f>B25+B46</f>
        <v>0</v>
      </c>
      <c r="C47" s="17">
        <f>C25+C46</f>
        <v>0</v>
      </c>
      <c r="D47" s="17">
        <f>D25+D46</f>
        <v>0</v>
      </c>
      <c r="E47" s="17">
        <f>E25+E46</f>
        <v>0</v>
      </c>
      <c r="F47" s="17">
        <f>F25+F46</f>
        <v>0</v>
      </c>
      <c r="G47" s="121">
        <f t="shared" si="3"/>
        <v>0</v>
      </c>
      <c r="H47" s="41"/>
      <c r="P47" s="1"/>
      <c r="Q47" s="1"/>
      <c r="R47" s="1"/>
      <c r="S47" s="1"/>
      <c r="T47" s="1"/>
      <c r="U47" s="1"/>
      <c r="V47" s="1"/>
      <c r="W47" s="1"/>
      <c r="X47" s="1"/>
      <c r="Y47" s="1"/>
      <c r="Z47" s="1"/>
      <c r="AA47" s="1"/>
      <c r="AB47" s="1"/>
      <c r="AC47" s="1"/>
      <c r="AD47" s="1"/>
      <c r="AE47" s="1"/>
      <c r="AF47" s="1"/>
      <c r="AG47" s="1"/>
      <c r="AH47" s="1"/>
    </row>
    <row r="48" spans="1:34" ht="14.25" customHeight="1" x14ac:dyDescent="0.3">
      <c r="A48" s="12" t="str">
        <f>"Fringe Benefits - " &amp; Instruction!B9</f>
        <v xml:space="preserve">Fringe Benefits - </v>
      </c>
      <c r="B48" s="5"/>
      <c r="C48" s="6"/>
      <c r="D48" s="6"/>
      <c r="E48" s="6"/>
      <c r="F48" s="6"/>
      <c r="G48" s="118"/>
      <c r="H48" s="41"/>
      <c r="P48" s="1"/>
      <c r="Q48" s="1"/>
      <c r="R48" s="1"/>
      <c r="S48" s="1"/>
      <c r="T48" s="1"/>
      <c r="U48" s="1"/>
      <c r="V48" s="1"/>
      <c r="W48" s="1"/>
      <c r="X48" s="1"/>
      <c r="Y48" s="1"/>
      <c r="Z48" s="1"/>
      <c r="AA48" s="1"/>
      <c r="AB48" s="1"/>
      <c r="AC48" s="1"/>
      <c r="AD48" s="1"/>
      <c r="AE48" s="1"/>
      <c r="AF48" s="1"/>
      <c r="AG48" s="1"/>
      <c r="AH48" s="1"/>
    </row>
    <row r="49" spans="1:34" ht="28.5" customHeight="1" x14ac:dyDescent="0.3">
      <c r="A49" s="426" t="str">
        <f>"Yr 1: "&amp;" AY/CY: "&amp;Instruction!E6*100&amp;"%"&amp;", Summer: "&amp;Instruction!F6*100&amp;"%; "&amp;"Yr 2 + : "&amp;" AY/CY: "&amp;Instruction!E9*100&amp;"%"&amp;", Summer: "&amp;Instruction!F9*100&amp;"%"</f>
        <v>Yr 1:  AY/CY: 36.6%, Summer: 8.6%; Yr 2 + :  AY/CY: 30%, Summer: 8.2%</v>
      </c>
      <c r="B49" s="31">
        <f>ROUND(Instruction!E6*(SUM(B12:B17)+SUM(B27:B34))+Instruction!F6*(SUM(B19:B24)+SUM(B35:B39)),0)</f>
        <v>0</v>
      </c>
      <c r="C49" s="32">
        <f>ROUND(Instruction!E9*(SUM(C12:C17)+SUM(C27:C34))+Instruction!F9*(SUM(C19:C24)+SUM(C35:C39)),0)</f>
        <v>0</v>
      </c>
      <c r="D49" s="32">
        <f>ROUND(Instruction!E9*(SUM(D12:D17)+SUM(D27:D34))+Instruction!F9*(SUM(D19:D24)+SUM(D35:D39)),0)</f>
        <v>0</v>
      </c>
      <c r="E49" s="30">
        <f>ROUND(Instruction!E9*(SUM(E12:E17)+SUM(E27:E34))+Instruction!F9*(SUM(E19:E24)+SUM(E35:E39)),0)</f>
        <v>0</v>
      </c>
      <c r="F49" s="32">
        <f>ROUND(Instruction!E9*(SUM(F12:F17)+SUM(F27:F34))+Instruction!F9*(SUM(F19:F24)+SUM(F35:F39)),0)</f>
        <v>0</v>
      </c>
      <c r="G49" s="122">
        <f t="shared" si="3"/>
        <v>0</v>
      </c>
      <c r="H49" s="41"/>
      <c r="P49" s="1"/>
      <c r="Q49" s="1"/>
      <c r="R49" s="1"/>
      <c r="S49" s="1"/>
      <c r="T49" s="1"/>
      <c r="U49" s="1"/>
      <c r="V49" s="1"/>
      <c r="W49" s="1"/>
      <c r="X49" s="1"/>
      <c r="Y49" s="1"/>
      <c r="Z49" s="1"/>
      <c r="AA49" s="1"/>
      <c r="AB49" s="1"/>
      <c r="AC49" s="1"/>
      <c r="AD49" s="1"/>
      <c r="AE49" s="1"/>
      <c r="AF49" s="1"/>
      <c r="AG49" s="1"/>
      <c r="AH49" s="1"/>
    </row>
    <row r="50" spans="1:34" ht="14.25" customHeight="1" x14ac:dyDescent="0.3">
      <c r="A50" s="18" t="s">
        <v>15</v>
      </c>
      <c r="B50" s="16">
        <f>B47+B49</f>
        <v>0</v>
      </c>
      <c r="C50" s="33">
        <f>C47+C49</f>
        <v>0</v>
      </c>
      <c r="D50" s="33">
        <f>D47+D49</f>
        <v>0</v>
      </c>
      <c r="E50" s="17">
        <f>E47+E49</f>
        <v>0</v>
      </c>
      <c r="F50" s="34">
        <f>F47+F49</f>
        <v>0</v>
      </c>
      <c r="G50" s="121">
        <f t="shared" si="3"/>
        <v>0</v>
      </c>
      <c r="H50" s="41"/>
      <c r="P50" s="1"/>
      <c r="Q50" s="1"/>
      <c r="R50" s="1"/>
      <c r="S50" s="1"/>
      <c r="T50" s="1"/>
      <c r="U50" s="1"/>
      <c r="V50" s="1"/>
      <c r="W50" s="1"/>
      <c r="X50" s="1"/>
      <c r="Y50" s="1"/>
      <c r="Z50" s="1"/>
      <c r="AA50" s="1"/>
      <c r="AB50" s="1"/>
      <c r="AC50" s="1"/>
      <c r="AD50" s="1"/>
      <c r="AE50" s="1"/>
      <c r="AF50" s="1"/>
      <c r="AG50" s="1"/>
      <c r="AH50" s="1"/>
    </row>
    <row r="51" spans="1:34" ht="11.5" customHeight="1" x14ac:dyDescent="0.3">
      <c r="A51" s="397"/>
      <c r="B51" s="398"/>
      <c r="C51" s="399"/>
      <c r="D51" s="399"/>
      <c r="E51" s="399"/>
      <c r="F51" s="399"/>
      <c r="G51" s="400"/>
      <c r="H51" s="41"/>
      <c r="P51" s="1"/>
      <c r="Q51" s="1"/>
      <c r="R51" s="1"/>
      <c r="S51" s="1"/>
      <c r="T51" s="1"/>
      <c r="U51" s="1"/>
      <c r="V51" s="1"/>
      <c r="W51" s="1"/>
      <c r="X51" s="1"/>
      <c r="Y51" s="1"/>
      <c r="Z51" s="1"/>
      <c r="AA51" s="1"/>
      <c r="AB51" s="1"/>
      <c r="AC51" s="1"/>
      <c r="AD51" s="1"/>
      <c r="AE51" s="1"/>
      <c r="AF51" s="1"/>
      <c r="AG51" s="1"/>
      <c r="AH51" s="1"/>
    </row>
    <row r="52" spans="1:34" ht="14.25" customHeight="1" x14ac:dyDescent="0.3">
      <c r="A52" s="35" t="s">
        <v>59</v>
      </c>
      <c r="B52" s="5"/>
      <c r="C52" s="6"/>
      <c r="D52" s="6"/>
      <c r="E52" s="6"/>
      <c r="F52" s="6"/>
      <c r="G52" s="118"/>
      <c r="H52" s="41"/>
      <c r="P52" s="1"/>
      <c r="Q52" s="1"/>
      <c r="R52" s="1"/>
      <c r="S52" s="1"/>
      <c r="T52" s="1"/>
      <c r="U52" s="1"/>
      <c r="V52" s="1"/>
      <c r="W52" s="1"/>
      <c r="X52" s="1"/>
      <c r="Y52" s="1"/>
      <c r="Z52" s="1"/>
      <c r="AA52" s="1"/>
      <c r="AB52" s="1"/>
      <c r="AC52" s="1"/>
      <c r="AD52" s="1"/>
      <c r="AE52" s="1"/>
      <c r="AF52" s="1"/>
      <c r="AG52" s="1"/>
      <c r="AH52" s="1"/>
    </row>
    <row r="53" spans="1:34" ht="14.25" customHeight="1" x14ac:dyDescent="0.3">
      <c r="A53" s="5" t="str">
        <f>'Equip, Participant, Other DC'!A4</f>
        <v>Item 1</v>
      </c>
      <c r="B53" s="5">
        <f>'Equip, Participant, Other DC'!B4</f>
        <v>0</v>
      </c>
      <c r="C53" s="6">
        <f>'Equip, Participant, Other DC'!C4</f>
        <v>0</v>
      </c>
      <c r="D53" s="6">
        <f>'Equip, Participant, Other DC'!D4</f>
        <v>0</v>
      </c>
      <c r="E53" s="6">
        <f>'Equip, Participant, Other DC'!E4</f>
        <v>0</v>
      </c>
      <c r="F53" s="6">
        <f>'Equip, Participant, Other DC'!F4</f>
        <v>0</v>
      </c>
      <c r="G53" s="118">
        <f t="shared" ref="G53:G59" si="8">SUM(B53:F53)</f>
        <v>0</v>
      </c>
      <c r="H53" s="41"/>
      <c r="P53" s="1"/>
      <c r="Q53" s="1"/>
      <c r="R53" s="1"/>
      <c r="S53" s="1"/>
      <c r="T53" s="1"/>
      <c r="U53" s="1"/>
      <c r="V53" s="1"/>
      <c r="W53" s="1"/>
      <c r="X53" s="1"/>
      <c r="Y53" s="1"/>
      <c r="Z53" s="1"/>
      <c r="AA53" s="1"/>
      <c r="AB53" s="1"/>
      <c r="AC53" s="1"/>
      <c r="AD53" s="1"/>
      <c r="AE53" s="1"/>
      <c r="AF53" s="1"/>
      <c r="AG53" s="1"/>
      <c r="AH53" s="1"/>
    </row>
    <row r="54" spans="1:34" ht="14.25" customHeight="1" x14ac:dyDescent="0.3">
      <c r="A54" s="5" t="str">
        <f>'Equip, Participant, Other DC'!A5</f>
        <v>Item 2</v>
      </c>
      <c r="B54" s="5">
        <f>'Equip, Participant, Other DC'!B5</f>
        <v>0</v>
      </c>
      <c r="C54" s="6">
        <f>'Equip, Participant, Other DC'!C5</f>
        <v>0</v>
      </c>
      <c r="D54" s="6">
        <f>'Equip, Participant, Other DC'!D5</f>
        <v>0</v>
      </c>
      <c r="E54" s="6">
        <f>'Equip, Participant, Other DC'!E5</f>
        <v>0</v>
      </c>
      <c r="F54" s="6">
        <f>'Equip, Participant, Other DC'!F5</f>
        <v>0</v>
      </c>
      <c r="G54" s="118">
        <f t="shared" ref="G54:G57" si="9">SUM(B54:F54)</f>
        <v>0</v>
      </c>
      <c r="H54" s="41"/>
      <c r="P54" s="1"/>
      <c r="Q54" s="1"/>
      <c r="R54" s="1"/>
      <c r="S54" s="1"/>
      <c r="T54" s="1"/>
      <c r="U54" s="1"/>
      <c r="V54" s="1"/>
      <c r="W54" s="1"/>
      <c r="X54" s="1"/>
      <c r="Y54" s="1"/>
      <c r="Z54" s="1"/>
      <c r="AA54" s="1"/>
      <c r="AB54" s="1"/>
      <c r="AC54" s="1"/>
      <c r="AD54" s="1"/>
      <c r="AE54" s="1"/>
      <c r="AF54" s="1"/>
      <c r="AG54" s="1"/>
      <c r="AH54" s="1"/>
    </row>
    <row r="55" spans="1:34" ht="14.25" customHeight="1" outlineLevel="1" x14ac:dyDescent="0.3">
      <c r="A55" s="5" t="str">
        <f>'Equip, Participant, Other DC'!A6</f>
        <v>Item 3</v>
      </c>
      <c r="B55" s="5">
        <f>'Equip, Participant, Other DC'!B6</f>
        <v>0</v>
      </c>
      <c r="C55" s="6">
        <f>'Equip, Participant, Other DC'!C6</f>
        <v>0</v>
      </c>
      <c r="D55" s="6">
        <f>'Equip, Participant, Other DC'!D6</f>
        <v>0</v>
      </c>
      <c r="E55" s="6">
        <f>'Equip, Participant, Other DC'!E6</f>
        <v>0</v>
      </c>
      <c r="F55" s="6">
        <f>'Equip, Participant, Other DC'!F6</f>
        <v>0</v>
      </c>
      <c r="G55" s="118">
        <f t="shared" si="9"/>
        <v>0</v>
      </c>
      <c r="H55" s="41"/>
      <c r="P55" s="1"/>
      <c r="Q55" s="1"/>
      <c r="R55" s="1"/>
      <c r="S55" s="1"/>
      <c r="T55" s="1"/>
      <c r="U55" s="1"/>
      <c r="V55" s="1"/>
      <c r="W55" s="1"/>
      <c r="X55" s="1"/>
      <c r="Y55" s="1"/>
      <c r="Z55" s="1"/>
      <c r="AA55" s="1"/>
      <c r="AB55" s="1"/>
      <c r="AC55" s="1"/>
      <c r="AD55" s="1"/>
      <c r="AE55" s="1"/>
      <c r="AF55" s="1"/>
      <c r="AG55" s="1"/>
      <c r="AH55" s="1"/>
    </row>
    <row r="56" spans="1:34" ht="14.25" customHeight="1" outlineLevel="1" x14ac:dyDescent="0.3">
      <c r="A56" s="5" t="str">
        <f>'Equip, Participant, Other DC'!A7</f>
        <v>Item 4</v>
      </c>
      <c r="B56" s="5">
        <f>'Equip, Participant, Other DC'!B7</f>
        <v>0</v>
      </c>
      <c r="C56" s="6">
        <f>'Equip, Participant, Other DC'!C7</f>
        <v>0</v>
      </c>
      <c r="D56" s="6">
        <f>'Equip, Participant, Other DC'!D7</f>
        <v>0</v>
      </c>
      <c r="E56" s="6">
        <f>'Equip, Participant, Other DC'!E7</f>
        <v>0</v>
      </c>
      <c r="F56" s="6">
        <f>'Equip, Participant, Other DC'!F7</f>
        <v>0</v>
      </c>
      <c r="G56" s="118">
        <f t="shared" si="9"/>
        <v>0</v>
      </c>
      <c r="H56" s="41"/>
      <c r="P56" s="1"/>
      <c r="Q56" s="1"/>
      <c r="R56" s="1"/>
      <c r="S56" s="1"/>
      <c r="T56" s="1"/>
      <c r="U56" s="1"/>
      <c r="V56" s="1"/>
      <c r="W56" s="1"/>
      <c r="X56" s="1"/>
      <c r="Y56" s="1"/>
      <c r="Z56" s="1"/>
      <c r="AA56" s="1"/>
      <c r="AB56" s="1"/>
      <c r="AC56" s="1"/>
      <c r="AD56" s="1"/>
      <c r="AE56" s="1"/>
      <c r="AF56" s="1"/>
      <c r="AG56" s="1"/>
      <c r="AH56" s="1"/>
    </row>
    <row r="57" spans="1:34" ht="14.25" customHeight="1" outlineLevel="1" x14ac:dyDescent="0.3">
      <c r="A57" s="5" t="str">
        <f>'Equip, Participant, Other DC'!A8</f>
        <v>Item 5</v>
      </c>
      <c r="B57" s="5">
        <f>'Equip, Participant, Other DC'!B8</f>
        <v>0</v>
      </c>
      <c r="C57" s="6">
        <f>'Equip, Participant, Other DC'!C8</f>
        <v>0</v>
      </c>
      <c r="D57" s="6">
        <f>'Equip, Participant, Other DC'!D8</f>
        <v>0</v>
      </c>
      <c r="E57" s="6">
        <f>'Equip, Participant, Other DC'!E8</f>
        <v>0</v>
      </c>
      <c r="F57" s="6">
        <f>'Equip, Participant, Other DC'!F8</f>
        <v>0</v>
      </c>
      <c r="G57" s="118">
        <f t="shared" si="9"/>
        <v>0</v>
      </c>
      <c r="H57" s="41"/>
      <c r="P57" s="1"/>
      <c r="Q57" s="1"/>
      <c r="R57" s="1"/>
      <c r="S57" s="1"/>
      <c r="T57" s="1"/>
      <c r="U57" s="1"/>
      <c r="V57" s="1"/>
      <c r="W57" s="1"/>
      <c r="X57" s="1"/>
      <c r="Y57" s="1"/>
      <c r="Z57" s="1"/>
      <c r="AA57" s="1"/>
      <c r="AB57" s="1"/>
      <c r="AC57" s="1"/>
      <c r="AD57" s="1"/>
      <c r="AE57" s="1"/>
      <c r="AF57" s="1"/>
      <c r="AG57" s="1"/>
      <c r="AH57" s="1"/>
    </row>
    <row r="58" spans="1:34" ht="14.25" customHeight="1" outlineLevel="1" x14ac:dyDescent="0.3">
      <c r="A58" s="5" t="str">
        <f>'Equip, Participant, Other DC'!A9</f>
        <v>Item 6</v>
      </c>
      <c r="B58" s="5">
        <f>'Equip, Participant, Other DC'!B9</f>
        <v>0</v>
      </c>
      <c r="C58" s="19">
        <f>'Equip, Participant, Other DC'!C9</f>
        <v>0</v>
      </c>
      <c r="D58" s="6">
        <f>'Equip, Participant, Other DC'!D9</f>
        <v>0</v>
      </c>
      <c r="E58" s="6">
        <f>'Equip, Participant, Other DC'!E9</f>
        <v>0</v>
      </c>
      <c r="F58" s="6">
        <f>'Equip, Participant, Other DC'!F9</f>
        <v>0</v>
      </c>
      <c r="G58" s="118">
        <f t="shared" si="8"/>
        <v>0</v>
      </c>
      <c r="H58" s="41"/>
      <c r="P58" s="1"/>
      <c r="Q58" s="1"/>
      <c r="R58" s="1"/>
      <c r="S58" s="1"/>
      <c r="T58" s="1"/>
      <c r="U58" s="1"/>
      <c r="V58" s="1"/>
      <c r="W58" s="1"/>
      <c r="X58" s="1"/>
      <c r="Y58" s="1"/>
      <c r="Z58" s="1"/>
      <c r="AA58" s="1"/>
      <c r="AB58" s="1"/>
      <c r="AC58" s="1"/>
      <c r="AD58" s="1"/>
      <c r="AE58" s="1"/>
      <c r="AF58" s="1"/>
      <c r="AG58" s="1"/>
      <c r="AH58" s="1"/>
    </row>
    <row r="59" spans="1:34" ht="14.25" customHeight="1" x14ac:dyDescent="0.3">
      <c r="A59" s="20" t="s">
        <v>16</v>
      </c>
      <c r="B59" s="9">
        <f>SUM(B53:B58)</f>
        <v>0</v>
      </c>
      <c r="C59" s="10">
        <f t="shared" ref="C59:F59" si="10">SUM(C53:C58)</f>
        <v>0</v>
      </c>
      <c r="D59" s="10">
        <f t="shared" si="10"/>
        <v>0</v>
      </c>
      <c r="E59" s="10">
        <f t="shared" si="10"/>
        <v>0</v>
      </c>
      <c r="F59" s="11">
        <f t="shared" si="10"/>
        <v>0</v>
      </c>
      <c r="G59" s="119">
        <f t="shared" si="8"/>
        <v>0</v>
      </c>
      <c r="H59" s="41"/>
      <c r="P59" s="1"/>
      <c r="Q59" s="1"/>
      <c r="R59" s="1"/>
      <c r="S59" s="1"/>
      <c r="T59" s="1"/>
      <c r="U59" s="1"/>
      <c r="V59" s="1"/>
      <c r="W59" s="1"/>
      <c r="X59" s="1"/>
      <c r="Y59" s="1"/>
      <c r="Z59" s="1"/>
      <c r="AA59" s="1"/>
      <c r="AB59" s="1"/>
      <c r="AC59" s="1"/>
      <c r="AD59" s="1"/>
      <c r="AE59" s="1"/>
      <c r="AF59" s="1"/>
      <c r="AG59" s="1"/>
      <c r="AH59" s="1"/>
    </row>
    <row r="60" spans="1:34" ht="14.25" customHeight="1" x14ac:dyDescent="0.3">
      <c r="A60" s="406"/>
      <c r="B60" s="407"/>
      <c r="C60" s="404"/>
      <c r="D60" s="403"/>
      <c r="E60" s="403"/>
      <c r="F60" s="403"/>
      <c r="G60" s="408"/>
      <c r="H60" s="41"/>
      <c r="P60" s="1"/>
      <c r="Q60" s="1"/>
      <c r="R60" s="1"/>
      <c r="S60" s="1"/>
      <c r="T60" s="1"/>
      <c r="U60" s="1"/>
      <c r="V60" s="1"/>
      <c r="W60" s="1"/>
      <c r="X60" s="1"/>
      <c r="Y60" s="1"/>
      <c r="Z60" s="1"/>
      <c r="AA60" s="1"/>
      <c r="AB60" s="1"/>
      <c r="AC60" s="1"/>
      <c r="AD60" s="1"/>
      <c r="AE60" s="1"/>
      <c r="AF60" s="1"/>
      <c r="AG60" s="1"/>
      <c r="AH60" s="1"/>
    </row>
    <row r="61" spans="1:34" ht="13" customHeight="1" x14ac:dyDescent="0.3">
      <c r="A61" s="35" t="s">
        <v>52</v>
      </c>
      <c r="B61" s="5"/>
      <c r="C61" s="6"/>
      <c r="D61" s="6"/>
      <c r="E61" s="6"/>
      <c r="F61" s="6"/>
      <c r="G61" s="118"/>
      <c r="H61" s="4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3">
      <c r="A62" s="2" t="s">
        <v>103</v>
      </c>
      <c r="B62" s="5">
        <f>Travel!E243</f>
        <v>0</v>
      </c>
      <c r="C62" s="42">
        <f>Travel!F243</f>
        <v>0</v>
      </c>
      <c r="D62" s="42">
        <f>Travel!G243</f>
        <v>0</v>
      </c>
      <c r="E62" s="42">
        <f>Travel!H243</f>
        <v>0</v>
      </c>
      <c r="F62" s="13">
        <f>Travel!I243</f>
        <v>0</v>
      </c>
      <c r="G62" s="118">
        <f t="shared" ref="G62:G64" si="11">SUM(B62:F62)</f>
        <v>0</v>
      </c>
      <c r="H62" s="4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customHeight="1" x14ac:dyDescent="0.3">
      <c r="A63" s="12" t="s">
        <v>104</v>
      </c>
      <c r="B63" s="57">
        <f>Travel!E244</f>
        <v>0</v>
      </c>
      <c r="C63" s="67">
        <f>Travel!F244</f>
        <v>0</v>
      </c>
      <c r="D63" s="67">
        <f>Travel!G244</f>
        <v>0</v>
      </c>
      <c r="E63" s="68">
        <f>Travel!H244</f>
        <v>0</v>
      </c>
      <c r="F63" s="69">
        <f>Travel!I244</f>
        <v>0</v>
      </c>
      <c r="G63" s="118">
        <f t="shared" si="11"/>
        <v>0</v>
      </c>
      <c r="H63" s="4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3">
      <c r="A64" s="61" t="s">
        <v>17</v>
      </c>
      <c r="B64" s="9">
        <f>SUM(B62:B63)</f>
        <v>0</v>
      </c>
      <c r="C64" s="10">
        <f>SUM(C62:C63)</f>
        <v>0</v>
      </c>
      <c r="D64" s="10">
        <f>SUM(D62:D63)</f>
        <v>0</v>
      </c>
      <c r="E64" s="33">
        <f>SUM(E62:E63)</f>
        <v>0</v>
      </c>
      <c r="F64" s="11">
        <f>SUM(F62:F63)</f>
        <v>0</v>
      </c>
      <c r="G64" s="119">
        <f t="shared" si="11"/>
        <v>0</v>
      </c>
      <c r="H64" s="4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ht="14.25" customHeight="1" x14ac:dyDescent="0.3">
      <c r="A65" s="401"/>
      <c r="B65" s="402"/>
      <c r="C65" s="403"/>
      <c r="D65" s="403"/>
      <c r="E65" s="404"/>
      <c r="F65" s="403"/>
      <c r="G65" s="405"/>
      <c r="H65" s="4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97" s="38" customFormat="1" ht="14" x14ac:dyDescent="0.3">
      <c r="A66" s="44" t="s">
        <v>58</v>
      </c>
      <c r="B66" s="40"/>
      <c r="C66" s="40"/>
      <c r="D66" s="40"/>
      <c r="E66" s="40"/>
      <c r="F66" s="40"/>
      <c r="G66" s="123" t="s">
        <v>53</v>
      </c>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row>
    <row r="67" spans="1:97" s="38" customFormat="1" ht="14" x14ac:dyDescent="0.3">
      <c r="A67" s="72" t="s">
        <v>105</v>
      </c>
      <c r="B67" s="385">
        <f>'Equip, Participant, Other DC'!B13+'Equip, Participant, Other DC'!B22+'Equip, Participant, Other DC'!B31</f>
        <v>0</v>
      </c>
      <c r="C67" s="386">
        <f>'Equip, Participant, Other DC'!C13+'Equip, Participant, Other DC'!C22+'Equip, Participant, Other DC'!C31</f>
        <v>0</v>
      </c>
      <c r="D67" s="386">
        <f>'Equip, Participant, Other DC'!D13+'Equip, Participant, Other DC'!D22+'Equip, Participant, Other DC'!D31</f>
        <v>0</v>
      </c>
      <c r="E67" s="386">
        <f>'Equip, Participant, Other DC'!E13+'Equip, Participant, Other DC'!E22+'Equip, Participant, Other DC'!E31</f>
        <v>0</v>
      </c>
      <c r="F67" s="387">
        <f>'Equip, Participant, Other DC'!F13+'Equip, Participant, Other DC'!F22+'Equip, Participant, Other DC'!F31</f>
        <v>0</v>
      </c>
      <c r="G67" s="388">
        <f t="shared" ref="G67:G72" si="12">SUM(B67:F67)</f>
        <v>0</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row>
    <row r="68" spans="1:97" s="38" customFormat="1" ht="14" x14ac:dyDescent="0.3">
      <c r="A68" s="45" t="s">
        <v>55</v>
      </c>
      <c r="B68" s="385">
        <f>'Equip, Participant, Other DC'!B14+'Equip, Participant, Other DC'!B23+'Equip, Participant, Other DC'!B32</f>
        <v>0</v>
      </c>
      <c r="C68" s="386">
        <f>'Equip, Participant, Other DC'!C14+'Equip, Participant, Other DC'!C23+'Equip, Participant, Other DC'!C32</f>
        <v>0</v>
      </c>
      <c r="D68" s="386">
        <f>'Equip, Participant, Other DC'!D14+'Equip, Participant, Other DC'!D23+'Equip, Participant, Other DC'!D32</f>
        <v>0</v>
      </c>
      <c r="E68" s="386">
        <f>'Equip, Participant, Other DC'!E14+'Equip, Participant, Other DC'!E23+'Equip, Participant, Other DC'!E32</f>
        <v>0</v>
      </c>
      <c r="F68" s="387">
        <f>'Equip, Participant, Other DC'!F14+'Equip, Participant, Other DC'!F23+'Equip, Participant, Other DC'!F32</f>
        <v>0</v>
      </c>
      <c r="G68" s="388">
        <f t="shared" si="12"/>
        <v>0</v>
      </c>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row>
    <row r="69" spans="1:97" s="38" customFormat="1" ht="14" x14ac:dyDescent="0.3">
      <c r="A69" s="46" t="s">
        <v>52</v>
      </c>
      <c r="B69" s="385">
        <f>'Equip, Participant, Other DC'!B15+'Equip, Participant, Other DC'!B24+'Equip, Participant, Other DC'!B33</f>
        <v>0</v>
      </c>
      <c r="C69" s="386">
        <f>'Equip, Participant, Other DC'!C15+'Equip, Participant, Other DC'!C24+'Equip, Participant, Other DC'!C33</f>
        <v>0</v>
      </c>
      <c r="D69" s="386">
        <f>'Equip, Participant, Other DC'!D15+'Equip, Participant, Other DC'!D24+'Equip, Participant, Other DC'!D33</f>
        <v>0</v>
      </c>
      <c r="E69" s="386">
        <f>'Equip, Participant, Other DC'!E15+'Equip, Participant, Other DC'!E24+'Equip, Participant, Other DC'!E33</f>
        <v>0</v>
      </c>
      <c r="F69" s="387">
        <f>'Equip, Participant, Other DC'!F15+'Equip, Participant, Other DC'!F24+'Equip, Participant, Other DC'!F33</f>
        <v>0</v>
      </c>
      <c r="G69" s="388">
        <f t="shared" si="12"/>
        <v>0</v>
      </c>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row>
    <row r="70" spans="1:97" s="38" customFormat="1" ht="14" x14ac:dyDescent="0.3">
      <c r="A70" s="47" t="s">
        <v>56</v>
      </c>
      <c r="B70" s="385">
        <f>'Equip, Participant, Other DC'!B16+'Equip, Participant, Other DC'!B25+'Equip, Participant, Other DC'!B34</f>
        <v>0</v>
      </c>
      <c r="C70" s="386">
        <f>'Equip, Participant, Other DC'!C16+'Equip, Participant, Other DC'!C25+'Equip, Participant, Other DC'!C34</f>
        <v>0</v>
      </c>
      <c r="D70" s="386">
        <f>'Equip, Participant, Other DC'!D16+'Equip, Participant, Other DC'!D25+'Equip, Participant, Other DC'!D34</f>
        <v>0</v>
      </c>
      <c r="E70" s="386">
        <f>'Equip, Participant, Other DC'!E16+'Equip, Participant, Other DC'!E25+'Equip, Participant, Other DC'!E34</f>
        <v>0</v>
      </c>
      <c r="F70" s="387">
        <f>'Equip, Participant, Other DC'!F16+'Equip, Participant, Other DC'!F25+'Equip, Participant, Other DC'!F34</f>
        <v>0</v>
      </c>
      <c r="G70" s="388">
        <f t="shared" si="12"/>
        <v>0</v>
      </c>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row>
    <row r="71" spans="1:97" s="38" customFormat="1" ht="14" x14ac:dyDescent="0.3">
      <c r="A71" s="46" t="s">
        <v>57</v>
      </c>
      <c r="B71" s="385">
        <f>'Equip, Participant, Other DC'!B17+'Equip, Participant, Other DC'!B26+'Equip, Participant, Other DC'!B35</f>
        <v>0</v>
      </c>
      <c r="C71" s="437">
        <f>'Equip, Participant, Other DC'!C17+'Equip, Participant, Other DC'!C26+'Equip, Participant, Other DC'!C35</f>
        <v>0</v>
      </c>
      <c r="D71" s="437">
        <f>'Equip, Participant, Other DC'!D17+'Equip, Participant, Other DC'!D26+'Equip, Participant, Other DC'!D35</f>
        <v>0</v>
      </c>
      <c r="E71" s="437">
        <f>'Equip, Participant, Other DC'!E17+'Equip, Participant, Other DC'!E26+'Equip, Participant, Other DC'!E35</f>
        <v>0</v>
      </c>
      <c r="F71" s="437">
        <f>'Equip, Participant, Other DC'!F17+'Equip, Participant, Other DC'!F26+'Equip, Participant, Other DC'!F35</f>
        <v>0</v>
      </c>
      <c r="G71" s="389">
        <f t="shared" si="12"/>
        <v>0</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row>
    <row r="72" spans="1:97" s="38" customFormat="1" ht="14" x14ac:dyDescent="0.3">
      <c r="A72" s="48" t="s">
        <v>54</v>
      </c>
      <c r="B72" s="390">
        <f>SUM(B67:B71)</f>
        <v>0</v>
      </c>
      <c r="C72" s="391">
        <f t="shared" ref="C72:F72" si="13">SUM(C67:C71)</f>
        <v>0</v>
      </c>
      <c r="D72" s="391">
        <f t="shared" si="13"/>
        <v>0</v>
      </c>
      <c r="E72" s="391">
        <f t="shared" si="13"/>
        <v>0</v>
      </c>
      <c r="F72" s="392">
        <f t="shared" si="13"/>
        <v>0</v>
      </c>
      <c r="G72" s="393">
        <f t="shared" si="12"/>
        <v>0</v>
      </c>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row>
    <row r="73" spans="1:97" ht="12.65" customHeight="1" x14ac:dyDescent="0.3">
      <c r="A73" s="397"/>
      <c r="B73" s="398"/>
      <c r="C73" s="399"/>
      <c r="D73" s="399"/>
      <c r="E73" s="399"/>
      <c r="F73" s="399"/>
      <c r="G73" s="400"/>
      <c r="H73" s="4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3">
      <c r="A74" s="35" t="s">
        <v>18</v>
      </c>
      <c r="B74" s="5"/>
      <c r="C74" s="6"/>
      <c r="D74" s="6"/>
      <c r="E74" s="6"/>
      <c r="F74" s="6"/>
      <c r="G74" s="118"/>
      <c r="H74" s="4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97" ht="14.25" customHeight="1" x14ac:dyDescent="0.3">
      <c r="A75" s="21" t="s">
        <v>19</v>
      </c>
      <c r="B75" s="60">
        <f>'Equip, Participant, Other DC'!B53</f>
        <v>0</v>
      </c>
      <c r="C75" s="60">
        <f>'Equip, Participant, Other DC'!C53</f>
        <v>0</v>
      </c>
      <c r="D75" s="60">
        <f>'Equip, Participant, Other DC'!D53</f>
        <v>0</v>
      </c>
      <c r="E75" s="60">
        <f>'Equip, Participant, Other DC'!E53</f>
        <v>0</v>
      </c>
      <c r="F75" s="6">
        <f>'Equip, Participant, Other DC'!F53</f>
        <v>0</v>
      </c>
      <c r="G75" s="118">
        <f t="shared" ref="G75:G96" si="14">SUM(B75:F75)</f>
        <v>0</v>
      </c>
      <c r="H75" s="41"/>
      <c r="I75" s="6"/>
      <c r="J75" s="6"/>
      <c r="K75" s="6"/>
      <c r="L75" s="6"/>
      <c r="M75" s="6"/>
      <c r="N75" s="6"/>
      <c r="O75" s="6"/>
      <c r="P75" s="6"/>
      <c r="Q75" s="6"/>
      <c r="R75" s="6"/>
      <c r="S75" s="6"/>
      <c r="T75" s="6"/>
      <c r="U75" s="6"/>
      <c r="V75" s="1"/>
      <c r="W75" s="1"/>
      <c r="X75" s="1"/>
      <c r="Y75" s="1"/>
      <c r="Z75" s="1"/>
      <c r="AA75" s="1"/>
      <c r="AB75" s="1"/>
      <c r="AC75" s="1"/>
      <c r="AD75" s="1"/>
      <c r="AE75" s="1"/>
      <c r="AF75" s="1"/>
      <c r="AG75" s="1"/>
      <c r="AH75" s="1"/>
    </row>
    <row r="76" spans="1:97" ht="14.25" customHeight="1" x14ac:dyDescent="0.3">
      <c r="A76" s="12" t="s">
        <v>20</v>
      </c>
      <c r="B76" s="5">
        <f>'Equip, Participant, Other DC'!B55</f>
        <v>0</v>
      </c>
      <c r="C76" s="42">
        <f>'Equip, Participant, Other DC'!C55</f>
        <v>0</v>
      </c>
      <c r="D76" s="42">
        <f>'Equip, Participant, Other DC'!D55</f>
        <v>0</v>
      </c>
      <c r="E76" s="42">
        <f>'Equip, Participant, Other DC'!E55</f>
        <v>0</v>
      </c>
      <c r="F76" s="13">
        <f>'Equip, Participant, Other DC'!F55</f>
        <v>0</v>
      </c>
      <c r="G76" s="118">
        <f t="shared" si="14"/>
        <v>0</v>
      </c>
      <c r="H76" s="4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3">
      <c r="A77" s="21" t="s">
        <v>23</v>
      </c>
      <c r="B77" s="6">
        <f>'Equip, Participant, Other DC'!B63</f>
        <v>0</v>
      </c>
      <c r="C77" s="6">
        <f>'Equip, Participant, Other DC'!C63</f>
        <v>0</v>
      </c>
      <c r="D77" s="6">
        <f>'Equip, Participant, Other DC'!D63</f>
        <v>0</v>
      </c>
      <c r="E77" s="6">
        <f>'Equip, Participant, Other DC'!E63</f>
        <v>0</v>
      </c>
      <c r="F77" s="13">
        <f>'Equip, Participant, Other DC'!F63</f>
        <v>0</v>
      </c>
      <c r="G77" s="118">
        <f>SUM(B77:F77)</f>
        <v>0</v>
      </c>
      <c r="H77" s="4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3">
      <c r="A78" s="22" t="s">
        <v>21</v>
      </c>
      <c r="B78" s="5">
        <f>'Equip, Participant, Other DC'!B70</f>
        <v>0</v>
      </c>
      <c r="C78" s="6">
        <f>'Equip, Participant, Other DC'!C70</f>
        <v>0</v>
      </c>
      <c r="D78" s="6">
        <f>'Equip, Participant, Other DC'!D70</f>
        <v>0</v>
      </c>
      <c r="E78" s="6">
        <f>'Equip, Participant, Other DC'!E70</f>
        <v>0</v>
      </c>
      <c r="F78" s="6">
        <f>'Equip, Participant, Other DC'!F70</f>
        <v>0</v>
      </c>
      <c r="G78" s="118">
        <f>SUM(B78:F78)</f>
        <v>0</v>
      </c>
      <c r="H78" s="4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3">
      <c r="A79" s="21" t="s">
        <v>108</v>
      </c>
      <c r="B79" s="5">
        <f>'Equip, Participant, Other DC'!B76</f>
        <v>0</v>
      </c>
      <c r="C79" s="42">
        <f>'Equip, Participant, Other DC'!C76</f>
        <v>0</v>
      </c>
      <c r="D79" s="42">
        <f>'Equip, Participant, Other DC'!D76</f>
        <v>0</v>
      </c>
      <c r="E79" s="42">
        <f>'Equip, Participant, Other DC'!E76</f>
        <v>0</v>
      </c>
      <c r="F79" s="13">
        <f>'Equip, Participant, Other DC'!F76</f>
        <v>0</v>
      </c>
      <c r="G79" s="118">
        <f>SUM(B79:F79)</f>
        <v>0</v>
      </c>
      <c r="H79" s="4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3">
      <c r="A80" s="21" t="s">
        <v>109</v>
      </c>
      <c r="B80" s="5">
        <f>'Equip, Participant, Other DC'!B82</f>
        <v>0</v>
      </c>
      <c r="C80" s="42">
        <f>'Equip, Participant, Other DC'!C82</f>
        <v>0</v>
      </c>
      <c r="D80" s="42">
        <f>'Equip, Participant, Other DC'!D82</f>
        <v>0</v>
      </c>
      <c r="E80" s="42">
        <f>'Equip, Participant, Other DC'!E82</f>
        <v>0</v>
      </c>
      <c r="F80" s="13">
        <f>'Equip, Participant, Other DC'!F82</f>
        <v>0</v>
      </c>
      <c r="G80" s="118">
        <f>SUM(B80:F80)</f>
        <v>0</v>
      </c>
      <c r="H80" s="4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x14ac:dyDescent="0.3">
      <c r="A81" s="66" t="s">
        <v>323</v>
      </c>
      <c r="B81" s="416">
        <f>SUM(B82:B86)</f>
        <v>0</v>
      </c>
      <c r="C81" s="58">
        <f>SUM(C82:C86)</f>
        <v>0</v>
      </c>
      <c r="D81" s="58">
        <f>SUM(D82:D86)</f>
        <v>0</v>
      </c>
      <c r="E81" s="58">
        <f>SUM(E82:E86)</f>
        <v>0</v>
      </c>
      <c r="F81" s="58">
        <f>SUM(F82:F86)</f>
        <v>0</v>
      </c>
      <c r="G81" s="118">
        <f>SUM(B81:F81)</f>
        <v>0</v>
      </c>
      <c r="H81" s="41"/>
      <c r="I81" s="56"/>
      <c r="J81" s="56"/>
      <c r="K81" s="56"/>
      <c r="L81" s="1"/>
      <c r="M81" s="1"/>
      <c r="N81" s="1"/>
      <c r="O81" s="1"/>
      <c r="P81" s="1"/>
      <c r="Q81" s="1"/>
      <c r="R81" s="1"/>
      <c r="S81" s="1"/>
      <c r="T81" s="1"/>
      <c r="U81" s="1"/>
      <c r="V81" s="1"/>
      <c r="W81" s="1"/>
      <c r="X81" s="1"/>
      <c r="Y81" s="1"/>
      <c r="Z81" s="1"/>
      <c r="AA81" s="1"/>
      <c r="AB81" s="1"/>
      <c r="AC81" s="1"/>
      <c r="AD81" s="1"/>
      <c r="AE81" s="1"/>
      <c r="AF81" s="1"/>
      <c r="AG81" s="1"/>
      <c r="AH81" s="1"/>
    </row>
    <row r="82" spans="1:34" ht="14.25" customHeight="1" outlineLevel="1" x14ac:dyDescent="0.3">
      <c r="A82" s="398" t="str">
        <f xml:space="preserve"> Subaward!B12</f>
        <v>Enter subaward Institution 1's name here</v>
      </c>
      <c r="B82" s="398">
        <f>Subaward!B16</f>
        <v>0</v>
      </c>
      <c r="C82" s="399">
        <f>Subaward!C16</f>
        <v>0</v>
      </c>
      <c r="D82" s="399">
        <f>Subaward!D16</f>
        <v>0</v>
      </c>
      <c r="E82" s="399">
        <f>Subaward!E16</f>
        <v>0</v>
      </c>
      <c r="F82" s="399">
        <f>Subaward!F16</f>
        <v>0</v>
      </c>
      <c r="G82" s="400">
        <f t="shared" si="14"/>
        <v>0</v>
      </c>
      <c r="H82" s="41"/>
      <c r="I82" s="56"/>
      <c r="J82" s="56"/>
      <c r="K82" s="56"/>
      <c r="L82" s="1"/>
      <c r="M82" s="1"/>
      <c r="N82" s="1"/>
      <c r="O82" s="1"/>
      <c r="P82" s="1"/>
      <c r="Q82" s="1"/>
      <c r="R82" s="1"/>
      <c r="S82" s="1"/>
      <c r="T82" s="1"/>
      <c r="U82" s="1"/>
      <c r="V82" s="1"/>
      <c r="W82" s="1"/>
      <c r="X82" s="1"/>
      <c r="Y82" s="1"/>
      <c r="Z82" s="1"/>
      <c r="AA82" s="1"/>
      <c r="AB82" s="1"/>
      <c r="AC82" s="1"/>
      <c r="AD82" s="1"/>
      <c r="AE82" s="1"/>
      <c r="AF82" s="1"/>
      <c r="AG82" s="1"/>
      <c r="AH82" s="1"/>
    </row>
    <row r="83" spans="1:34" ht="14.25" customHeight="1" outlineLevel="1" x14ac:dyDescent="0.3">
      <c r="A83" s="398" t="str">
        <f>Subaward!B20</f>
        <v>Enter subaward Institution 2's name here</v>
      </c>
      <c r="B83" s="398">
        <f>Subaward!B24</f>
        <v>0</v>
      </c>
      <c r="C83" s="417">
        <f>Subaward!C24</f>
        <v>0</v>
      </c>
      <c r="D83" s="417">
        <f>Subaward!D24</f>
        <v>0</v>
      </c>
      <c r="E83" s="417">
        <f>Subaward!E24</f>
        <v>0</v>
      </c>
      <c r="F83" s="417">
        <f>Subaward!F24</f>
        <v>0</v>
      </c>
      <c r="G83" s="400">
        <f t="shared" si="14"/>
        <v>0</v>
      </c>
      <c r="H83" s="4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4.25" customHeight="1" outlineLevel="1" x14ac:dyDescent="0.3">
      <c r="A84" s="398" t="str">
        <f>Subaward!B28</f>
        <v>Enter subaward Institution 3's name here</v>
      </c>
      <c r="B84" s="418">
        <f>Subaward!B32</f>
        <v>0</v>
      </c>
      <c r="C84" s="415">
        <f>Subaward!C32</f>
        <v>0</v>
      </c>
      <c r="D84" s="415">
        <f>Subaward!D32</f>
        <v>0</v>
      </c>
      <c r="E84" s="415">
        <f>Subaward!E32</f>
        <v>0</v>
      </c>
      <c r="F84" s="419">
        <f>Subaward!F32</f>
        <v>0</v>
      </c>
      <c r="G84" s="400">
        <f t="shared" ref="G84:G85" si="15">SUM(B84:F84)</f>
        <v>0</v>
      </c>
      <c r="H84" s="41"/>
      <c r="I84" s="56"/>
      <c r="J84" s="56"/>
      <c r="K84" s="56"/>
      <c r="L84" s="1"/>
      <c r="M84" s="1"/>
      <c r="N84" s="1"/>
      <c r="O84" s="1"/>
      <c r="P84" s="1"/>
      <c r="Q84" s="1"/>
      <c r="R84" s="1"/>
      <c r="S84" s="1"/>
      <c r="T84" s="1"/>
      <c r="U84" s="1"/>
      <c r="V84" s="1"/>
      <c r="W84" s="1"/>
      <c r="X84" s="1"/>
      <c r="Y84" s="1"/>
      <c r="Z84" s="1"/>
      <c r="AA84" s="1"/>
      <c r="AB84" s="1"/>
      <c r="AC84" s="1"/>
      <c r="AD84" s="1"/>
      <c r="AE84" s="1"/>
      <c r="AF84" s="1"/>
      <c r="AG84" s="1"/>
      <c r="AH84" s="1"/>
    </row>
    <row r="85" spans="1:34" ht="14.25" customHeight="1" outlineLevel="1" x14ac:dyDescent="0.3">
      <c r="A85" s="398" t="str">
        <f>Subaward!B36</f>
        <v>Enter subaward Institution 4's name here</v>
      </c>
      <c r="B85" s="418">
        <f>Subaward!B40</f>
        <v>0</v>
      </c>
      <c r="C85" s="415">
        <f>Subaward!C40</f>
        <v>0</v>
      </c>
      <c r="D85" s="415">
        <f>Subaward!D40</f>
        <v>0</v>
      </c>
      <c r="E85" s="415">
        <f>Subaward!E40</f>
        <v>0</v>
      </c>
      <c r="F85" s="419">
        <f>Subaward!F40</f>
        <v>0</v>
      </c>
      <c r="G85" s="400">
        <f t="shared" si="15"/>
        <v>0</v>
      </c>
      <c r="H85" s="41"/>
      <c r="I85" s="56"/>
      <c r="J85" s="56"/>
      <c r="K85" s="56"/>
      <c r="L85" s="1"/>
      <c r="M85" s="1"/>
      <c r="N85" s="1"/>
      <c r="O85" s="1"/>
      <c r="P85" s="1"/>
      <c r="Q85" s="1"/>
      <c r="R85" s="1"/>
      <c r="S85" s="1"/>
      <c r="T85" s="1"/>
      <c r="U85" s="1"/>
      <c r="V85" s="1"/>
      <c r="W85" s="1"/>
      <c r="X85" s="1"/>
      <c r="Y85" s="1"/>
      <c r="Z85" s="1"/>
      <c r="AA85" s="1"/>
      <c r="AB85" s="1"/>
      <c r="AC85" s="1"/>
      <c r="AD85" s="1"/>
      <c r="AE85" s="1"/>
      <c r="AF85" s="1"/>
      <c r="AG85" s="1"/>
      <c r="AH85" s="1"/>
    </row>
    <row r="86" spans="1:34" ht="14.25" customHeight="1" outlineLevel="1" x14ac:dyDescent="0.3">
      <c r="A86" s="398" t="str">
        <f>Subaward!B44</f>
        <v>Enter subaward Institution 5's name here</v>
      </c>
      <c r="B86" s="418">
        <f>Subaward!B48</f>
        <v>0</v>
      </c>
      <c r="C86" s="415">
        <f>Subaward!C48</f>
        <v>0</v>
      </c>
      <c r="D86" s="415">
        <f>Subaward!D48</f>
        <v>0</v>
      </c>
      <c r="E86" s="415">
        <f>Subaward!E48</f>
        <v>0</v>
      </c>
      <c r="F86" s="419">
        <f>Subaward!F48</f>
        <v>0</v>
      </c>
      <c r="G86" s="400">
        <f t="shared" ref="G86" si="16">SUM(B86:F86)</f>
        <v>0</v>
      </c>
      <c r="H86" s="41"/>
      <c r="I86" s="56"/>
      <c r="J86" s="56"/>
      <c r="K86" s="56"/>
      <c r="L86" s="1"/>
      <c r="M86" s="1"/>
      <c r="N86" s="1"/>
      <c r="O86" s="1"/>
      <c r="P86" s="1"/>
      <c r="Q86" s="1"/>
      <c r="R86" s="1"/>
      <c r="S86" s="1"/>
      <c r="T86" s="1"/>
      <c r="U86" s="1"/>
      <c r="V86" s="1"/>
      <c r="W86" s="1"/>
      <c r="X86" s="1"/>
      <c r="Y86" s="1"/>
      <c r="Z86" s="1"/>
      <c r="AA86" s="1"/>
      <c r="AB86" s="1"/>
      <c r="AC86" s="1"/>
      <c r="AD86" s="1"/>
      <c r="AE86" s="1"/>
      <c r="AF86" s="1"/>
      <c r="AG86" s="1"/>
      <c r="AH86" s="1"/>
    </row>
    <row r="87" spans="1:34" ht="14.25" hidden="1" customHeight="1" x14ac:dyDescent="0.3">
      <c r="A87" s="66" t="s">
        <v>209</v>
      </c>
      <c r="B87" s="57">
        <f>'Equip, Participant, Other DC'!B84</f>
        <v>0</v>
      </c>
      <c r="C87" s="58">
        <f>'Equip, Participant, Other DC'!C84</f>
        <v>0</v>
      </c>
      <c r="D87" s="58">
        <f>'Equip, Participant, Other DC'!D84</f>
        <v>0</v>
      </c>
      <c r="E87" s="58">
        <f>'Equip, Participant, Other DC'!E84</f>
        <v>0</v>
      </c>
      <c r="F87" s="64">
        <f>'Equip, Participant, Other DC'!F84</f>
        <v>0</v>
      </c>
      <c r="G87" s="118">
        <f>SUM(B87:F87)</f>
        <v>0</v>
      </c>
      <c r="H87" s="41"/>
      <c r="I87" s="56"/>
      <c r="J87" s="56"/>
      <c r="K87" s="56"/>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3">
      <c r="A88" s="12" t="s">
        <v>22</v>
      </c>
      <c r="B88" s="5">
        <f>ROUND((SUM(Salary!E8:E13)+SUM(Salary!E22:E29))*Instruction!E14,0)</f>
        <v>0</v>
      </c>
      <c r="C88" s="6">
        <f>ROUND((SUM(Salary!F8:F13)+SUM(Salary!F22:F29))*Instruction!E14,0)</f>
        <v>0</v>
      </c>
      <c r="D88" s="6">
        <f>ROUND((SUM(Salary!G8:G13)+SUM(Salary!G22:G29))*Instruction!E14,0)</f>
        <v>0</v>
      </c>
      <c r="E88" s="6">
        <f>ROUND((SUM(Salary!H8:H13)+SUM(Salary!H22:H29))*Instruction!E14,0)</f>
        <v>0</v>
      </c>
      <c r="F88" s="6">
        <f>ROUND((SUM(Salary!I8:I13)+SUM(Salary!I22:I29))*Instruction!E14,0)</f>
        <v>0</v>
      </c>
      <c r="G88" s="118">
        <f>SUM(B88:F88)</f>
        <v>0</v>
      </c>
      <c r="H88" s="4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3">
      <c r="A89" s="21" t="s">
        <v>207</v>
      </c>
      <c r="B89" s="60">
        <f>'Equip, Participant, Other DC'!B95</f>
        <v>0</v>
      </c>
      <c r="C89" s="60">
        <f>'Equip, Participant, Other DC'!C95</f>
        <v>0</v>
      </c>
      <c r="D89" s="60">
        <f>'Equip, Participant, Other DC'!D95</f>
        <v>0</v>
      </c>
      <c r="E89" s="60">
        <f>'Equip, Participant, Other DC'!E95</f>
        <v>0</v>
      </c>
      <c r="F89" s="6">
        <f>'Equip, Participant, Other DC'!F95</f>
        <v>0</v>
      </c>
      <c r="G89" s="118">
        <f t="shared" si="14"/>
        <v>0</v>
      </c>
      <c r="H89" s="41"/>
      <c r="I89" s="56"/>
      <c r="J89" s="56"/>
      <c r="K89" s="56"/>
      <c r="L89" s="1"/>
      <c r="M89" s="1"/>
      <c r="N89" s="1"/>
      <c r="O89" s="1"/>
      <c r="P89" s="1"/>
      <c r="Q89" s="1"/>
      <c r="R89" s="1"/>
      <c r="S89" s="1"/>
      <c r="T89" s="1"/>
      <c r="U89" s="1"/>
      <c r="V89" s="1"/>
      <c r="W89" s="1"/>
      <c r="X89" s="1"/>
      <c r="Y89" s="1"/>
      <c r="Z89" s="1"/>
      <c r="AA89" s="1"/>
      <c r="AB89" s="1"/>
      <c r="AC89" s="1"/>
      <c r="AD89" s="1"/>
      <c r="AE89" s="1"/>
      <c r="AF89" s="1"/>
      <c r="AG89" s="1"/>
      <c r="AH89" s="1"/>
    </row>
    <row r="90" spans="1:34" ht="14.25" customHeight="1" x14ac:dyDescent="0.3">
      <c r="A90" s="43" t="s">
        <v>110</v>
      </c>
      <c r="B90" s="5">
        <f>'Equip, Participant, Other DC'!B102</f>
        <v>0</v>
      </c>
      <c r="C90" s="42">
        <f>'Equip, Participant, Other DC'!C102</f>
        <v>0</v>
      </c>
      <c r="D90" s="42">
        <f>'Equip, Participant, Other DC'!D102</f>
        <v>0</v>
      </c>
      <c r="E90" s="42">
        <f>'Equip, Participant, Other DC'!E102</f>
        <v>0</v>
      </c>
      <c r="F90" s="42">
        <f>'Equip, Participant, Other DC'!F102</f>
        <v>0</v>
      </c>
      <c r="G90" s="118">
        <f t="shared" si="14"/>
        <v>0</v>
      </c>
      <c r="H90" s="41"/>
      <c r="I90" s="63"/>
      <c r="J90" s="63"/>
      <c r="K90" s="63"/>
      <c r="L90" s="63"/>
      <c r="M90" s="63"/>
      <c r="N90" s="63"/>
      <c r="O90" s="63"/>
      <c r="P90" s="1"/>
      <c r="Q90" s="1"/>
      <c r="R90" s="1"/>
      <c r="S90" s="1"/>
      <c r="T90" s="1"/>
      <c r="U90" s="1"/>
      <c r="V90" s="1"/>
      <c r="W90" s="1"/>
      <c r="X90" s="1"/>
      <c r="Y90" s="1"/>
      <c r="Z90" s="1"/>
      <c r="AA90" s="1"/>
      <c r="AB90" s="1"/>
      <c r="AC90" s="1"/>
      <c r="AD90" s="1"/>
      <c r="AE90" s="1"/>
      <c r="AF90" s="1"/>
      <c r="AG90" s="1"/>
      <c r="AH90" s="1"/>
    </row>
    <row r="91" spans="1:34" ht="14.25" customHeight="1" x14ac:dyDescent="0.3">
      <c r="A91" s="21" t="s">
        <v>67</v>
      </c>
      <c r="B91" s="5">
        <f>'Tuition Remission'!B30</f>
        <v>0</v>
      </c>
      <c r="C91" s="42">
        <f>'Tuition Remission'!C30</f>
        <v>0</v>
      </c>
      <c r="D91" s="42">
        <f>'Tuition Remission'!D30</f>
        <v>0</v>
      </c>
      <c r="E91" s="42">
        <f>'Tuition Remission'!E30</f>
        <v>0</v>
      </c>
      <c r="F91" s="13">
        <f>'Tuition Remission'!F30</f>
        <v>0</v>
      </c>
      <c r="G91" s="118">
        <f>SUM(B91:F91)</f>
        <v>0</v>
      </c>
      <c r="H91" s="41"/>
      <c r="I91" s="59"/>
      <c r="J91" s="59"/>
      <c r="K91" s="59"/>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3">
      <c r="A92" s="21" t="str">
        <f>'Equip, Participant, Other DC'!A105</f>
        <v>Others 1 (add description)</v>
      </c>
      <c r="B92" s="5">
        <f>'Equip, Participant, Other DC'!B105</f>
        <v>0</v>
      </c>
      <c r="C92" s="42">
        <f>'Equip, Participant, Other DC'!C105</f>
        <v>0</v>
      </c>
      <c r="D92" s="42">
        <f>'Equip, Participant, Other DC'!D105</f>
        <v>0</v>
      </c>
      <c r="E92" s="42">
        <f>'Equip, Participant, Other DC'!E105</f>
        <v>0</v>
      </c>
      <c r="F92" s="13">
        <f>'Equip, Participant, Other DC'!F105</f>
        <v>0</v>
      </c>
      <c r="G92" s="118">
        <f t="shared" ref="G92:G94" si="17">SUM(B92:F92)</f>
        <v>0</v>
      </c>
      <c r="H92" s="41"/>
      <c r="I92" s="59"/>
      <c r="J92" s="59"/>
      <c r="K92" s="59"/>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3">
      <c r="A93" s="21" t="str">
        <f>'Equip, Participant, Other DC'!A106</f>
        <v>Others 2 (add description)</v>
      </c>
      <c r="B93" s="5">
        <f>'Equip, Participant, Other DC'!B106</f>
        <v>0</v>
      </c>
      <c r="C93" s="42">
        <f>'Equip, Participant, Other DC'!C106</f>
        <v>0</v>
      </c>
      <c r="D93" s="42">
        <f>'Equip, Participant, Other DC'!D106</f>
        <v>0</v>
      </c>
      <c r="E93" s="42">
        <f>'Equip, Participant, Other DC'!E106</f>
        <v>0</v>
      </c>
      <c r="F93" s="13">
        <f>'Equip, Participant, Other DC'!F106</f>
        <v>0</v>
      </c>
      <c r="G93" s="118">
        <f t="shared" si="17"/>
        <v>0</v>
      </c>
      <c r="H93" s="41"/>
      <c r="I93" s="59"/>
      <c r="J93" s="59"/>
      <c r="K93" s="59"/>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3">
      <c r="A94" s="21" t="str">
        <f>'Equip, Participant, Other DC'!A107</f>
        <v>Others 3 (add description)</v>
      </c>
      <c r="B94" s="5">
        <f>'Equip, Participant, Other DC'!B107</f>
        <v>0</v>
      </c>
      <c r="C94" s="42">
        <f>'Equip, Participant, Other DC'!C107</f>
        <v>0</v>
      </c>
      <c r="D94" s="42">
        <f>'Equip, Participant, Other DC'!D107</f>
        <v>0</v>
      </c>
      <c r="E94" s="42">
        <f>'Equip, Participant, Other DC'!E107</f>
        <v>0</v>
      </c>
      <c r="F94" s="13">
        <f>'Equip, Participant, Other DC'!F107</f>
        <v>0</v>
      </c>
      <c r="G94" s="118">
        <f t="shared" si="17"/>
        <v>0</v>
      </c>
      <c r="H94" s="41"/>
      <c r="I94" s="59"/>
      <c r="J94" s="59"/>
      <c r="K94" s="59"/>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3">
      <c r="A95" s="55" t="str">
        <f>'Equip, Participant, Other DC'!A108</f>
        <v>Others 4 (add description)</v>
      </c>
      <c r="B95" s="49">
        <f>'Equip, Participant, Other DC'!B108</f>
        <v>0</v>
      </c>
      <c r="C95" s="50">
        <f>'Equip, Participant, Other DC'!C108</f>
        <v>0</v>
      </c>
      <c r="D95" s="50">
        <f>'Equip, Participant, Other DC'!D108</f>
        <v>0</v>
      </c>
      <c r="E95" s="50">
        <f>'Equip, Participant, Other DC'!E108</f>
        <v>0</v>
      </c>
      <c r="F95" s="51">
        <f>'Equip, Participant, Other DC'!F108</f>
        <v>0</v>
      </c>
      <c r="G95" s="118">
        <f>SUM(B95:F95)</f>
        <v>0</v>
      </c>
      <c r="H95" s="41"/>
      <c r="I95" s="59"/>
      <c r="J95" s="59"/>
      <c r="K95" s="59"/>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3">
      <c r="A96" s="18" t="s">
        <v>24</v>
      </c>
      <c r="B96" s="5">
        <f>SUM(B75:B95)-B81</f>
        <v>0</v>
      </c>
      <c r="C96" s="70">
        <f>SUM(C75:C95)-C81</f>
        <v>0</v>
      </c>
      <c r="D96" s="70">
        <f>SUM(D75:D95)-D81</f>
        <v>0</v>
      </c>
      <c r="E96" s="70">
        <f>SUM(E75:E95)-E81</f>
        <v>0</v>
      </c>
      <c r="F96" s="71">
        <f>SUM(F75:F95)-F81</f>
        <v>0</v>
      </c>
      <c r="G96" s="124">
        <f t="shared" si="14"/>
        <v>0</v>
      </c>
      <c r="H96" s="41"/>
      <c r="I96" s="6"/>
      <c r="J96" s="6"/>
      <c r="K96" s="6"/>
      <c r="L96" s="6"/>
      <c r="M96" s="6"/>
      <c r="N96" s="6"/>
      <c r="O96" s="6"/>
      <c r="P96" s="6"/>
      <c r="Q96" s="6"/>
      <c r="R96" s="6"/>
      <c r="S96" s="6"/>
      <c r="T96" s="6"/>
      <c r="U96" s="6"/>
      <c r="V96" s="1"/>
      <c r="W96" s="1"/>
      <c r="X96" s="1"/>
      <c r="Y96" s="1"/>
      <c r="Z96" s="1"/>
      <c r="AA96" s="1"/>
      <c r="AB96" s="1"/>
      <c r="AC96" s="1"/>
      <c r="AD96" s="1"/>
      <c r="AE96" s="1"/>
      <c r="AF96" s="1"/>
      <c r="AG96" s="1"/>
      <c r="AH96" s="1"/>
    </row>
    <row r="97" spans="1:34 16384:16384" ht="14.25" customHeight="1" x14ac:dyDescent="0.3">
      <c r="A97" s="397"/>
      <c r="B97" s="398"/>
      <c r="C97" s="399"/>
      <c r="D97" s="399"/>
      <c r="E97" s="399"/>
      <c r="F97" s="399"/>
      <c r="G97" s="400"/>
      <c r="H97" s="4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3">
      <c r="A98" s="18" t="s">
        <v>25</v>
      </c>
      <c r="B98" s="5">
        <f>ROUND((B50+B59+B64+B96+B72),0)</f>
        <v>0</v>
      </c>
      <c r="C98" s="42">
        <f>ROUND((C50+C59+C64+C96+C72),0)</f>
        <v>0</v>
      </c>
      <c r="D98" s="42">
        <f>ROUND((D50+D59+D64+D96+D72),0)</f>
        <v>0</v>
      </c>
      <c r="E98" s="42">
        <f>ROUND((E50+E59+E64+E96+E72),0)</f>
        <v>0</v>
      </c>
      <c r="F98" s="13">
        <f>ROUND((F50+F59+F64+F96+F72),0)</f>
        <v>0</v>
      </c>
      <c r="G98" s="118">
        <f t="shared" ref="G98:G101" si="18">SUM(B98:F98)</f>
        <v>0</v>
      </c>
      <c r="H98" s="4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3">
      <c r="A99" s="15" t="str">
        <f xml:space="preserve"> "Indirect Costs Base (" &amp; Instruction!B16 &amp; ")"</f>
        <v>Indirect Costs Base ()</v>
      </c>
      <c r="B99" s="474">
        <f>IF(Instruction!B16="MTDC",(B98-B59-B72-(SUM(B82:B86))-B91-B79-B80)+Subaward!B18+Subaward!B26+Subaward!B34+Subaward!B42+Subaward!B50, IF(Instruction!B16="TC","See B100", IF(Instruction!B16="TDC",B98,B50)))</f>
        <v>0</v>
      </c>
      <c r="C99" s="475">
        <f>IF(Instruction!$B$16="MTDC",(C98-C59-C72-(SUM(C82:C86))-C91-C79-C80)+Subaward!C18+Subaward!C26+Subaward!C34+Subaward!C42+Subaward!C50, IF(Instruction!B16="TC","See C100", IF(Instruction!B16="TDC",C98,C50)))</f>
        <v>0</v>
      </c>
      <c r="D99" s="475">
        <f>IF(Instruction!$B$16="MTDC",(D98-D59-D72-(SUM(D82:D86))-D91-D79-D80)+Subaward!D18+Subaward!D26+Subaward!D34+Subaward!D42+Subaward!D50, IF(Instruction!B16="TC","See D100", IF(Instruction!B16="TDC",D98,D50)))</f>
        <v>0</v>
      </c>
      <c r="E99" s="475">
        <f>IF(Instruction!$B$16="MTDC",(E98-E59-E72-(SUM(E82:E86))-E91-E79-E80)+Subaward!E18+Subaward!E26+Subaward!E34+Subaward!E42+Subaward!E50, IF(Instruction!B16="TC","See E100", IF(Instruction!B16="TDC",E98,E50)))</f>
        <v>0</v>
      </c>
      <c r="F99" s="476">
        <f>IF(Instruction!$B$16="MTDC",(F98-F59-F72-(SUM(F82:F86))-F91-F79-F80)+Subaward!F18+Subaward!F26+Subaward!F34+Subaward!F42+Subaward!F50,  IF(Instruction!B16="TC","See F100", IF(Instruction!B16="TDC",F98,F50)))</f>
        <v>0</v>
      </c>
      <c r="G99" s="118">
        <f t="shared" si="18"/>
        <v>0</v>
      </c>
      <c r="H99" s="4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x14ac:dyDescent="0.3">
      <c r="A100" s="425" t="e">
        <f>"Indirect Costs ("&amp;Instruction!E12*100&amp;"%, " &amp;Instruction!F12*100&amp;"%, " &amp;Instruction!G12*100&amp;"%, " &amp; Instruction!H12*100 &amp; "%, " &amp;Instruction!I12*100&amp;"%)"</f>
        <v>#N/A</v>
      </c>
      <c r="B100" s="23" t="e">
        <f>IF(Instruction!B16="TC",((Instruction!E12/(1-Instruction!E12))*B98),ROUND(B99*Instruction!E12,0))</f>
        <v>#N/A</v>
      </c>
      <c r="C100" s="19" t="e">
        <f>IF(Instruction!B16="TC",((Instruction!F12/(1-Instruction!F12))*C98),ROUND(C99*Instruction!F12,0))</f>
        <v>#N/A</v>
      </c>
      <c r="D100" s="19" t="e">
        <f>IF(Instruction!B16="TC",((Instruction!G12/(1-Instruction!G12))*D98),ROUND(D99*Instruction!G12,0))</f>
        <v>#N/A</v>
      </c>
      <c r="E100" s="19" t="e">
        <f>IF(Instruction!B16="TC",((Instruction!H12/(1-Instruction!H12))*E98),ROUND(E99*Instruction!H12,0))</f>
        <v>#N/A</v>
      </c>
      <c r="F100" s="62" t="e">
        <f>IF(Instruction!B16="TC",((Instruction!I12/(1-Instruction!I12))*F98),ROUND(F99*Instruction!I12,0))</f>
        <v>#N/A</v>
      </c>
      <c r="G100" s="125" t="e">
        <f t="shared" si="18"/>
        <v>#N/A</v>
      </c>
      <c r="H100" s="4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8" customHeight="1" thickBot="1" x14ac:dyDescent="0.35">
      <c r="A101" s="18" t="s">
        <v>27</v>
      </c>
      <c r="B101" s="113" t="e">
        <f>ROUND((B98+B100),0)</f>
        <v>#N/A</v>
      </c>
      <c r="C101" s="114" t="e">
        <f>ROUND((C98+C100),0)</f>
        <v>#N/A</v>
      </c>
      <c r="D101" s="114" t="e">
        <f>ROUND((D98+D100),0)</f>
        <v>#N/A</v>
      </c>
      <c r="E101" s="6" t="e">
        <f>ROUND((E98+E100),0)</f>
        <v>#N/A</v>
      </c>
      <c r="F101" s="6" t="e">
        <f>ROUND((F98+F100),0)</f>
        <v>#N/A</v>
      </c>
      <c r="G101" s="126" t="e">
        <f t="shared" si="18"/>
        <v>#N/A</v>
      </c>
      <c r="H101" s="4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outlineLevel="1" x14ac:dyDescent="0.3">
      <c r="A102" s="427" t="s">
        <v>259</v>
      </c>
      <c r="B102" s="431"/>
      <c r="C102" s="431"/>
      <c r="D102" s="431"/>
      <c r="E102" s="432"/>
      <c r="F102" s="432"/>
      <c r="G102" s="433" t="e">
        <f>ROUND(IF('Main Budget'!G101&lt;50000, 5000, 'Main Budget'!G101*0.1),0)</f>
        <v>#N/A</v>
      </c>
      <c r="H102" s="428"/>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16384:16384" ht="15" hidden="1" customHeight="1" outlineLevel="1" thickBot="1" x14ac:dyDescent="0.35">
      <c r="A103" s="429" t="s">
        <v>260</v>
      </c>
      <c r="B103" s="434"/>
      <c r="C103" s="434"/>
      <c r="D103" s="434"/>
      <c r="E103" s="434"/>
      <c r="F103" s="435"/>
      <c r="G103" s="436" t="e">
        <f>G101+G102</f>
        <v>#N/A</v>
      </c>
      <c r="H103" s="84"/>
    </row>
    <row r="104" spans="1:34 16384:16384" ht="15" customHeight="1" collapsed="1" x14ac:dyDescent="0.3">
      <c r="A104" s="112"/>
      <c r="B104" s="112"/>
      <c r="C104" s="112"/>
      <c r="D104" s="112"/>
      <c r="E104" s="112"/>
      <c r="F104" s="430"/>
    </row>
    <row r="105" spans="1:34 16384:16384" ht="15" customHeight="1" x14ac:dyDescent="0.3">
      <c r="A105" s="144" t="s">
        <v>245</v>
      </c>
      <c r="B105" s="137">
        <f>B98-Subaward!B15-Subaward!B23-Subaward!B31-Subaward!B39-Subaward!B47</f>
        <v>0</v>
      </c>
      <c r="C105" s="137">
        <f>C98-Subaward!C15-Subaward!C23-Subaward!C31-Subaward!C39-Subaward!C47</f>
        <v>0</v>
      </c>
      <c r="D105" s="137">
        <f>D98-Subaward!D15-Subaward!D23-Subaward!D31-Subaward!D39-Subaward!D47</f>
        <v>0</v>
      </c>
      <c r="E105" s="137">
        <f>E98-Subaward!E15-Subaward!E23-Subaward!E31-Subaward!E39-Subaward!E47</f>
        <v>0</v>
      </c>
      <c r="F105" s="137">
        <f>F98-Subaward!F15-Subaward!F23-Subaward!F31-Subaward!F39-Subaward!F47</f>
        <v>0</v>
      </c>
      <c r="G105" s="145">
        <f>SUM(B105:F105)</f>
        <v>0</v>
      </c>
      <c r="H105" s="1"/>
    </row>
    <row r="106" spans="1:34 16384:16384" ht="14.25" customHeight="1" x14ac:dyDescent="0.3">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6" customHeight="1" x14ac:dyDescent="0.3">
      <c r="A107" s="143" t="s">
        <v>191</v>
      </c>
      <c r="B107" s="139" t="s">
        <v>2</v>
      </c>
      <c r="C107" s="141" t="s">
        <v>3</v>
      </c>
      <c r="D107" s="141" t="s">
        <v>4</v>
      </c>
      <c r="E107" s="141" t="s">
        <v>5</v>
      </c>
      <c r="F107" s="140" t="s">
        <v>6</v>
      </c>
      <c r="G107" s="138" t="s">
        <v>7</v>
      </c>
      <c r="H107" s="4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3">
      <c r="A108" s="135" t="s">
        <v>34</v>
      </c>
      <c r="B108" s="438">
        <f>IF(Salary!E27=11.76, Salary!C27*0.02, 0)</f>
        <v>0</v>
      </c>
      <c r="C108" s="439">
        <f>IF(Salary!F27=11.76,Salary!C27*0.02*(1+Salary!$A$3),0)</f>
        <v>0</v>
      </c>
      <c r="D108" s="439">
        <f>IF(Salary!G27=11.76,Salary!C27*0.02*(1+Salary!$A$3)^2,0)</f>
        <v>0</v>
      </c>
      <c r="E108" s="439">
        <f>IF(Salary!H27=11.76,Salary!C27*0.02*(1+Salary!$A$3)^3,0)</f>
        <v>0</v>
      </c>
      <c r="F108" s="439">
        <f>IF(Salary!I27=11.76,Salary!C27*0.02*(1+Salary!$A$3)^4,0)</f>
        <v>0</v>
      </c>
      <c r="G108" s="438">
        <f t="shared" ref="G108:G114" si="19">SUM(B108:F108)</f>
        <v>0</v>
      </c>
      <c r="H108" s="14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16384:16384" ht="14.25" hidden="1" customHeight="1" x14ac:dyDescent="0.3">
      <c r="A109" s="135" t="s">
        <v>35</v>
      </c>
      <c r="B109" s="438">
        <f>IF(Salary!E28=11.76, Salary!C28*0.02, 0)</f>
        <v>0</v>
      </c>
      <c r="C109" s="439">
        <f>IF(Salary!F28=11.76,Salary!C28*0.02*(1+Salary!$A$3),0)</f>
        <v>0</v>
      </c>
      <c r="D109" s="439">
        <f>IF(Salary!G28=11.76,Salary!C28*0.02*(1+Salary!$A$3)^2,0)</f>
        <v>0</v>
      </c>
      <c r="E109" s="439">
        <f>IF(Salary!H28=11.76,Salary!C28*0.02*(1+Salary!$A$3)^3,0)</f>
        <v>0</v>
      </c>
      <c r="F109" s="440">
        <f>IF(Salary!I28=11.76,Salary!C28*0.02*(1+Salary!$A$3)^4,0)</f>
        <v>0</v>
      </c>
      <c r="G109" s="441">
        <f t="shared" si="19"/>
        <v>0</v>
      </c>
      <c r="H109" s="142"/>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hidden="1" customHeight="1" x14ac:dyDescent="0.3">
      <c r="A110" s="135" t="s">
        <v>68</v>
      </c>
      <c r="B110" s="438">
        <f>IF(Salary!E29=11.76, Salary!C29*0.02, 0)</f>
        <v>0</v>
      </c>
      <c r="C110" s="439">
        <f>IF(Salary!F29=11.76,Salary!C29*0.02*(1+Salary!$A$3),0)</f>
        <v>0</v>
      </c>
      <c r="D110" s="439">
        <f>IF(Salary!G29=11.76,Salary!C29*0.02*(1+Salary!$A$3)^2,0)</f>
        <v>0</v>
      </c>
      <c r="E110" s="439">
        <f>IF(Salary!H29=11.76,Salary!C29*0.02*(1+Salary!$A$3)^3,0)</f>
        <v>0</v>
      </c>
      <c r="F110" s="440">
        <f>IF(Salary!I29=11.76,Salary!C29*0.02*(1+Salary!$A$3)^4,0)</f>
        <v>0</v>
      </c>
      <c r="G110" s="441">
        <f t="shared" si="19"/>
        <v>0</v>
      </c>
      <c r="H110" s="1"/>
      <c r="I110" s="1"/>
      <c r="J110" s="1"/>
      <c r="K110" s="1"/>
      <c r="L110" s="1"/>
      <c r="M110" s="1"/>
      <c r="N110" s="1"/>
      <c r="O110" s="1"/>
      <c r="P110" s="1"/>
      <c r="Q110" s="1"/>
      <c r="R110" s="1"/>
      <c r="S110" s="1"/>
      <c r="T110" s="1"/>
      <c r="U110" s="1"/>
      <c r="V110" s="1"/>
      <c r="W110" s="1"/>
      <c r="X110" s="1"/>
      <c r="Y110" s="1"/>
      <c r="Z110" s="1"/>
      <c r="AA110" s="1"/>
      <c r="XFD110">
        <f>COUNT(H110:XFC110)</f>
        <v>0</v>
      </c>
    </row>
    <row r="111" spans="1:34 16384:16384" ht="14.25" customHeight="1" x14ac:dyDescent="0.3">
      <c r="A111" s="135" t="s">
        <v>192</v>
      </c>
      <c r="B111" s="439">
        <f>SUM(B108:B110)</f>
        <v>0</v>
      </c>
      <c r="C111" s="439">
        <f>SUM(C108:C110)</f>
        <v>0</v>
      </c>
      <c r="D111" s="439">
        <f>SUM(D108:D110)</f>
        <v>0</v>
      </c>
      <c r="E111" s="439">
        <f>SUM(E108:E110)</f>
        <v>0</v>
      </c>
      <c r="F111" s="439">
        <f>SUM(F108:F110)</f>
        <v>0</v>
      </c>
      <c r="G111" s="438">
        <f t="shared" si="19"/>
        <v>0</v>
      </c>
      <c r="H111" s="142"/>
      <c r="I111" s="1"/>
      <c r="J111" s="1"/>
      <c r="K111" s="1"/>
      <c r="L111" s="1"/>
      <c r="M111" s="1"/>
      <c r="N111" s="1"/>
      <c r="O111" s="1"/>
      <c r="P111" s="1"/>
      <c r="Q111" s="1"/>
      <c r="R111" s="1"/>
      <c r="S111" s="1"/>
      <c r="T111" s="1"/>
      <c r="U111" s="1"/>
      <c r="V111" s="1"/>
      <c r="W111" s="1"/>
      <c r="X111" s="1"/>
      <c r="Y111" s="1"/>
      <c r="Z111" s="1"/>
      <c r="AA111" s="1"/>
      <c r="XFD111">
        <f>COUNT(B111:XFC111)</f>
        <v>6</v>
      </c>
    </row>
    <row r="112" spans="1:34 16384:16384" ht="14.25" customHeight="1" x14ac:dyDescent="0.3">
      <c r="A112" s="135" t="s">
        <v>193</v>
      </c>
      <c r="B112" s="442">
        <f>B111*Instruction!E6</f>
        <v>0</v>
      </c>
      <c r="C112" s="439">
        <f>C111*Instruction!E9</f>
        <v>0</v>
      </c>
      <c r="D112" s="442">
        <f>D111*Instruction!E9</f>
        <v>0</v>
      </c>
      <c r="E112" s="442">
        <f>E111*Instruction!E9</f>
        <v>0</v>
      </c>
      <c r="F112" s="442">
        <f>F111*Instruction!E9</f>
        <v>0</v>
      </c>
      <c r="G112" s="438">
        <f t="shared" si="19"/>
        <v>0</v>
      </c>
      <c r="H112" s="142"/>
      <c r="I112" s="1"/>
      <c r="J112" s="1"/>
      <c r="K112" s="1"/>
      <c r="L112" s="1"/>
      <c r="M112" s="1"/>
      <c r="N112" s="1"/>
      <c r="O112" s="1"/>
      <c r="P112" s="1"/>
      <c r="Q112" s="1"/>
      <c r="R112" s="1"/>
      <c r="S112" s="1"/>
      <c r="T112" s="1"/>
      <c r="U112" s="1"/>
      <c r="V112" s="1"/>
      <c r="W112" s="1"/>
      <c r="X112" s="1"/>
      <c r="Y112" s="1"/>
      <c r="Z112" s="1"/>
      <c r="AA112" s="1"/>
    </row>
    <row r="113" spans="1:34" ht="14.25" customHeight="1" x14ac:dyDescent="0.3">
      <c r="A113" s="136" t="s">
        <v>194</v>
      </c>
      <c r="B113" s="443">
        <f>Instruction!$E$14*COUNTIF(B108:B110,"&gt;0")*0.24</f>
        <v>0</v>
      </c>
      <c r="C113" s="444">
        <f>Instruction!$E$14*COUNTIF(C108:C110,"&gt;0")*0.24</f>
        <v>0</v>
      </c>
      <c r="D113" s="444">
        <f>Instruction!$E$14*COUNTIF(D108:D110,"&gt;0")*0.24</f>
        <v>0</v>
      </c>
      <c r="E113" s="444">
        <f>Instruction!$E$14*COUNTIF(E108:E110,"&gt;0")*0.24</f>
        <v>0</v>
      </c>
      <c r="F113" s="445">
        <f>Instruction!$E$14*COUNTIF(F108:F110,"&gt;0")*0.24</f>
        <v>0</v>
      </c>
      <c r="G113" s="443">
        <f t="shared" si="19"/>
        <v>0</v>
      </c>
      <c r="H113" s="142"/>
      <c r="I113" s="1"/>
      <c r="J113" s="1"/>
      <c r="K113" s="1"/>
      <c r="L113" s="1"/>
      <c r="M113" s="1"/>
      <c r="N113" s="1"/>
      <c r="O113" s="1"/>
      <c r="P113" s="1"/>
      <c r="Q113" s="1"/>
      <c r="R113" s="1"/>
      <c r="S113" s="1"/>
      <c r="T113" s="1"/>
      <c r="U113" s="1"/>
      <c r="V113" s="1"/>
      <c r="W113" s="1"/>
      <c r="X113" s="1"/>
      <c r="Y113" s="1"/>
      <c r="Z113" s="1"/>
      <c r="AA113" s="1"/>
    </row>
    <row r="114" spans="1:34" ht="14.25" customHeight="1" x14ac:dyDescent="0.3">
      <c r="A114" s="134" t="s">
        <v>50</v>
      </c>
      <c r="B114" s="443">
        <f>SUM(B111:B113)</f>
        <v>0</v>
      </c>
      <c r="C114" s="446">
        <f>SUM(C111:C113)</f>
        <v>0</v>
      </c>
      <c r="D114" s="446">
        <f>SUM(D111:D113)</f>
        <v>0</v>
      </c>
      <c r="E114" s="446">
        <f>SUM(E111:E113)</f>
        <v>0</v>
      </c>
      <c r="F114" s="447">
        <f>SUM(F111:F113)</f>
        <v>0</v>
      </c>
      <c r="G114" s="448">
        <f t="shared" si="19"/>
        <v>0</v>
      </c>
      <c r="H114" s="14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customHeight="1" x14ac:dyDescent="0.3">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7" spans="1:34" ht="14.25" hidden="1" customHeight="1" outlineLevel="1" x14ac:dyDescent="0.3">
      <c r="A117" s="134" t="s">
        <v>118</v>
      </c>
      <c r="B117" s="134"/>
      <c r="C117" s="134"/>
      <c r="D117" s="134"/>
      <c r="E117" s="134"/>
      <c r="F117" s="134"/>
      <c r="G117" s="134"/>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3">
      <c r="A118" s="147"/>
      <c r="B118" s="602" t="s">
        <v>113</v>
      </c>
      <c r="C118" s="602"/>
      <c r="D118" s="602"/>
      <c r="E118" s="602"/>
      <c r="F118" s="602"/>
      <c r="G118" s="603"/>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3">
      <c r="A119" s="148"/>
      <c r="B119" s="149" t="s">
        <v>28</v>
      </c>
      <c r="C119" s="149" t="s">
        <v>203</v>
      </c>
      <c r="D119" s="149" t="s">
        <v>10</v>
      </c>
      <c r="E119" s="149" t="s">
        <v>112</v>
      </c>
      <c r="F119" s="149" t="s">
        <v>205</v>
      </c>
      <c r="G119" s="150" t="s">
        <v>74</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3">
      <c r="A120" s="151" t="str">
        <f>Salary!A8</f>
        <v xml:space="preserve">PI: </v>
      </c>
      <c r="B120" s="149">
        <f>Salary!$D$8</f>
        <v>9</v>
      </c>
      <c r="C120" s="149">
        <f>Salary!E8</f>
        <v>0</v>
      </c>
      <c r="D120" s="149">
        <f>Salary!E15</f>
        <v>0</v>
      </c>
      <c r="E120" s="149">
        <f>SUM(C120:D120)</f>
        <v>0</v>
      </c>
      <c r="F120" s="157">
        <f t="shared" ref="F120:F125" si="20">SUM(B12,B19)</f>
        <v>0</v>
      </c>
      <c r="G120" s="158">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3">
      <c r="A121" s="148" t="str">
        <f>Salary!A9</f>
        <v>Co-PI 1: Enter name here</v>
      </c>
      <c r="B121" s="149">
        <f>Salary!$D$9</f>
        <v>9</v>
      </c>
      <c r="C121" s="149">
        <f>Salary!E9</f>
        <v>0</v>
      </c>
      <c r="D121" s="149">
        <f>Salary!E16</f>
        <v>0</v>
      </c>
      <c r="E121" s="149">
        <f t="shared" ref="E121:E125" si="21">SUM(C121:D121)</f>
        <v>0</v>
      </c>
      <c r="F121" s="157">
        <f t="shared" si="20"/>
        <v>0</v>
      </c>
      <c r="G121" s="158">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3">
      <c r="A122" s="148" t="str">
        <f>Salary!A10</f>
        <v>Co-PI 2: Enter name here</v>
      </c>
      <c r="B122" s="149">
        <f>Salary!$D$10</f>
        <v>9</v>
      </c>
      <c r="C122" s="149">
        <f>Salary!E10</f>
        <v>0</v>
      </c>
      <c r="D122" s="149">
        <f>Salary!E17</f>
        <v>0</v>
      </c>
      <c r="E122" s="149">
        <f t="shared" si="21"/>
        <v>0</v>
      </c>
      <c r="F122" s="157">
        <f t="shared" si="20"/>
        <v>0</v>
      </c>
      <c r="G122" s="158">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3">
      <c r="A123" s="148" t="str">
        <f>Salary!A11</f>
        <v>Co-PI 3:</v>
      </c>
      <c r="B123" s="149">
        <f>Salary!$D$11</f>
        <v>9</v>
      </c>
      <c r="C123" s="149">
        <f>Salary!E11</f>
        <v>0</v>
      </c>
      <c r="D123" s="149">
        <f>Salary!E18</f>
        <v>0</v>
      </c>
      <c r="E123" s="149">
        <f t="shared" si="21"/>
        <v>0</v>
      </c>
      <c r="F123" s="157">
        <f t="shared" si="20"/>
        <v>0</v>
      </c>
      <c r="G123" s="158">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3">
      <c r="A124" s="148" t="str">
        <f>Salary!A12</f>
        <v>Co-PI 4:</v>
      </c>
      <c r="B124" s="149">
        <f>Salary!$D$12</f>
        <v>9</v>
      </c>
      <c r="C124" s="149">
        <f>Salary!E12</f>
        <v>0</v>
      </c>
      <c r="D124" s="149">
        <f>Salary!E19</f>
        <v>0</v>
      </c>
      <c r="E124" s="149">
        <f t="shared" si="21"/>
        <v>0</v>
      </c>
      <c r="F124" s="157">
        <f t="shared" si="20"/>
        <v>0</v>
      </c>
      <c r="G124" s="158">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3">
      <c r="A125" s="148" t="str">
        <f>Salary!A13</f>
        <v>Co-PI 5:</v>
      </c>
      <c r="B125" s="149">
        <f>Salary!$D$13</f>
        <v>9</v>
      </c>
      <c r="C125" s="149">
        <f>Salary!E13</f>
        <v>0</v>
      </c>
      <c r="D125" s="149">
        <f>Salary!E20</f>
        <v>0</v>
      </c>
      <c r="E125" s="149">
        <f t="shared" si="21"/>
        <v>0</v>
      </c>
      <c r="F125" s="157">
        <f t="shared" si="20"/>
        <v>0</v>
      </c>
      <c r="G125" s="158">
        <f>B17*Instruction!E6+B24*Instruction!F6</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3">
      <c r="A126" s="148"/>
      <c r="B126" s="599" t="s">
        <v>114</v>
      </c>
      <c r="C126" s="599"/>
      <c r="D126" s="599"/>
      <c r="E126" s="599"/>
      <c r="F126" s="599"/>
      <c r="G126" s="600"/>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3">
      <c r="A127" s="148"/>
      <c r="B127" s="149" t="s">
        <v>28</v>
      </c>
      <c r="C127" s="149" t="s">
        <v>203</v>
      </c>
      <c r="D127" s="149" t="s">
        <v>10</v>
      </c>
      <c r="E127" s="149" t="s">
        <v>112</v>
      </c>
      <c r="F127" s="149" t="s">
        <v>205</v>
      </c>
      <c r="G127" s="150" t="s">
        <v>74</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3">
      <c r="A128" s="151" t="str">
        <f>Salary!A8</f>
        <v xml:space="preserve">PI: </v>
      </c>
      <c r="B128" s="149">
        <f>Salary!$D$8</f>
        <v>9</v>
      </c>
      <c r="C128" s="149">
        <f>Salary!F8</f>
        <v>0</v>
      </c>
      <c r="D128" s="149">
        <f>Salary!F15</f>
        <v>0</v>
      </c>
      <c r="E128" s="149">
        <f t="shared" ref="E128:E133" si="22">SUM(C128:D128)</f>
        <v>0</v>
      </c>
      <c r="F128" s="157">
        <f t="shared" ref="F128:F133" si="23">SUM(C12,C19)</f>
        <v>0</v>
      </c>
      <c r="G128" s="159">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3">
      <c r="A129" s="151" t="str">
        <f>Salary!A9</f>
        <v>Co-PI 1: Enter name here</v>
      </c>
      <c r="B129" s="149">
        <f>Salary!$D$9</f>
        <v>9</v>
      </c>
      <c r="C129" s="149">
        <f>Salary!F9</f>
        <v>0</v>
      </c>
      <c r="D129" s="149">
        <f>Salary!F16</f>
        <v>0</v>
      </c>
      <c r="E129" s="149">
        <f t="shared" si="22"/>
        <v>0</v>
      </c>
      <c r="F129" s="157">
        <f t="shared" si="23"/>
        <v>0</v>
      </c>
      <c r="G129" s="159">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3">
      <c r="A130" s="151" t="str">
        <f>Salary!A10</f>
        <v>Co-PI 2: Enter name here</v>
      </c>
      <c r="B130" s="149">
        <f>Salary!$D$10</f>
        <v>9</v>
      </c>
      <c r="C130" s="149">
        <f>Salary!F10</f>
        <v>0</v>
      </c>
      <c r="D130" s="149">
        <f>Salary!F17</f>
        <v>0</v>
      </c>
      <c r="E130" s="149">
        <f t="shared" si="22"/>
        <v>0</v>
      </c>
      <c r="F130" s="157">
        <f t="shared" si="23"/>
        <v>0</v>
      </c>
      <c r="G130" s="159">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3">
      <c r="A131" s="151" t="str">
        <f>Salary!A11</f>
        <v>Co-PI 3:</v>
      </c>
      <c r="B131" s="149">
        <f>Salary!$D$11</f>
        <v>9</v>
      </c>
      <c r="C131" s="149">
        <f>Salary!F11</f>
        <v>0</v>
      </c>
      <c r="D131" s="149">
        <f>Salary!F18</f>
        <v>0</v>
      </c>
      <c r="E131" s="149">
        <f t="shared" si="22"/>
        <v>0</v>
      </c>
      <c r="F131" s="157">
        <f t="shared" si="23"/>
        <v>0</v>
      </c>
      <c r="G131" s="159">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3">
      <c r="A132" s="151" t="str">
        <f>Salary!A12</f>
        <v>Co-PI 4:</v>
      </c>
      <c r="B132" s="149">
        <f>Salary!$D$12</f>
        <v>9</v>
      </c>
      <c r="C132" s="149">
        <f>Salary!F12</f>
        <v>0</v>
      </c>
      <c r="D132" s="149">
        <f>Salary!F19</f>
        <v>0</v>
      </c>
      <c r="E132" s="149">
        <f t="shared" si="22"/>
        <v>0</v>
      </c>
      <c r="F132" s="157">
        <f t="shared" si="23"/>
        <v>0</v>
      </c>
      <c r="G132" s="159">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3">
      <c r="A133" s="151" t="str">
        <f>Salary!A13</f>
        <v>Co-PI 5:</v>
      </c>
      <c r="B133" s="149">
        <f>Salary!$D$13</f>
        <v>9</v>
      </c>
      <c r="C133" s="149">
        <f>Salary!F13</f>
        <v>0</v>
      </c>
      <c r="D133" s="149">
        <f>Salary!F20</f>
        <v>0</v>
      </c>
      <c r="E133" s="149">
        <f t="shared" si="22"/>
        <v>0</v>
      </c>
      <c r="F133" s="157">
        <f t="shared" si="23"/>
        <v>0</v>
      </c>
      <c r="G133" s="159">
        <f>C17*Instruction!$E$9+C24*Instruction!$F$9</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3">
      <c r="A134" s="148"/>
      <c r="B134" s="599" t="s">
        <v>115</v>
      </c>
      <c r="C134" s="599"/>
      <c r="D134" s="599"/>
      <c r="E134" s="599"/>
      <c r="F134" s="599"/>
      <c r="G134" s="600"/>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3">
      <c r="A135" s="148"/>
      <c r="B135" s="149" t="s">
        <v>28</v>
      </c>
      <c r="C135" s="149" t="s">
        <v>203</v>
      </c>
      <c r="D135" s="149" t="s">
        <v>10</v>
      </c>
      <c r="E135" s="149" t="s">
        <v>112</v>
      </c>
      <c r="F135" s="149" t="s">
        <v>205</v>
      </c>
      <c r="G135" s="150" t="s">
        <v>74</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3">
      <c r="A136" s="151" t="str">
        <f>Salary!A8</f>
        <v xml:space="preserve">PI: </v>
      </c>
      <c r="B136" s="149">
        <f>Salary!$D$8</f>
        <v>9</v>
      </c>
      <c r="C136" s="149">
        <f>Salary!G8</f>
        <v>0</v>
      </c>
      <c r="D136" s="149">
        <f>Salary!G15</f>
        <v>0</v>
      </c>
      <c r="E136" s="149">
        <f>SUM(C136:D136)</f>
        <v>0</v>
      </c>
      <c r="F136" s="157">
        <f t="shared" ref="F136:F141" si="24">SUM(D12,D19)</f>
        <v>0</v>
      </c>
      <c r="G136" s="158">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3">
      <c r="A137" s="151" t="str">
        <f>Salary!A9</f>
        <v>Co-PI 1: Enter name here</v>
      </c>
      <c r="B137" s="149">
        <f>Salary!$D$9</f>
        <v>9</v>
      </c>
      <c r="C137" s="149">
        <f>Salary!G9</f>
        <v>0</v>
      </c>
      <c r="D137" s="149">
        <f>Salary!G16</f>
        <v>0</v>
      </c>
      <c r="E137" s="149">
        <f t="shared" ref="E137:E141" si="25">SUM(C137:D137)</f>
        <v>0</v>
      </c>
      <c r="F137" s="157">
        <f t="shared" si="24"/>
        <v>0</v>
      </c>
      <c r="G137" s="158">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3">
      <c r="A138" s="151" t="str">
        <f>Salary!A10</f>
        <v>Co-PI 2: Enter name here</v>
      </c>
      <c r="B138" s="149">
        <f>Salary!$D$10</f>
        <v>9</v>
      </c>
      <c r="C138" s="149">
        <f>Salary!G10</f>
        <v>0</v>
      </c>
      <c r="D138" s="149">
        <f>Salary!G17</f>
        <v>0</v>
      </c>
      <c r="E138" s="149">
        <f t="shared" si="25"/>
        <v>0</v>
      </c>
      <c r="F138" s="157">
        <f t="shared" si="24"/>
        <v>0</v>
      </c>
      <c r="G138" s="158">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3">
      <c r="A139" s="151" t="str">
        <f>Salary!A11</f>
        <v>Co-PI 3:</v>
      </c>
      <c r="B139" s="149">
        <f>Salary!$D$11</f>
        <v>9</v>
      </c>
      <c r="C139" s="149">
        <f>Salary!G11</f>
        <v>0</v>
      </c>
      <c r="D139" s="149">
        <f>Salary!G18</f>
        <v>0</v>
      </c>
      <c r="E139" s="149">
        <f t="shared" si="25"/>
        <v>0</v>
      </c>
      <c r="F139" s="157">
        <f t="shared" si="24"/>
        <v>0</v>
      </c>
      <c r="G139" s="158">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3">
      <c r="A140" s="151" t="str">
        <f>Salary!A12</f>
        <v>Co-PI 4:</v>
      </c>
      <c r="B140" s="149">
        <f>Salary!$D$12</f>
        <v>9</v>
      </c>
      <c r="C140" s="149">
        <f>Salary!G12</f>
        <v>0</v>
      </c>
      <c r="D140" s="149">
        <f>Salary!G19</f>
        <v>0</v>
      </c>
      <c r="E140" s="149">
        <f t="shared" si="25"/>
        <v>0</v>
      </c>
      <c r="F140" s="157">
        <f t="shared" si="24"/>
        <v>0</v>
      </c>
      <c r="G140" s="158">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3">
      <c r="A141" s="151" t="str">
        <f>Salary!A13</f>
        <v>Co-PI 5:</v>
      </c>
      <c r="B141" s="149">
        <f>Salary!$D$13</f>
        <v>9</v>
      </c>
      <c r="C141" s="149">
        <f>Salary!G13</f>
        <v>0</v>
      </c>
      <c r="D141" s="149">
        <f>Salary!G20</f>
        <v>0</v>
      </c>
      <c r="E141" s="149">
        <f t="shared" si="25"/>
        <v>0</v>
      </c>
      <c r="F141" s="157">
        <f t="shared" si="24"/>
        <v>0</v>
      </c>
      <c r="G141" s="158">
        <f>D17*Instruction!E9+D24*Instruction!F9</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3">
      <c r="A142" s="148"/>
      <c r="B142" s="152" t="s">
        <v>116</v>
      </c>
      <c r="C142" s="152"/>
      <c r="D142" s="152"/>
      <c r="E142" s="152"/>
      <c r="F142" s="152"/>
      <c r="G142" s="153"/>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3">
      <c r="A143" s="148"/>
      <c r="B143" s="149" t="s">
        <v>28</v>
      </c>
      <c r="C143" s="149" t="s">
        <v>203</v>
      </c>
      <c r="D143" s="149" t="s">
        <v>10</v>
      </c>
      <c r="E143" s="149" t="s">
        <v>112</v>
      </c>
      <c r="F143" s="149" t="s">
        <v>205</v>
      </c>
      <c r="G143" s="150" t="s">
        <v>74</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3">
      <c r="A144" s="151" t="str">
        <f>Salary!A8</f>
        <v xml:space="preserve">PI: </v>
      </c>
      <c r="B144" s="149">
        <f>Salary!$D$8</f>
        <v>9</v>
      </c>
      <c r="C144" s="149">
        <f>Salary!H8</f>
        <v>0</v>
      </c>
      <c r="D144" s="149">
        <f>Salary!H15</f>
        <v>0</v>
      </c>
      <c r="E144" s="149">
        <f>SUM(C144:D144)</f>
        <v>0</v>
      </c>
      <c r="F144" s="157">
        <f t="shared" ref="F144:F149" si="26">SUM(E12,E19)</f>
        <v>0</v>
      </c>
      <c r="G144" s="158">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3">
      <c r="A145" s="151" t="str">
        <f>Salary!A9</f>
        <v>Co-PI 1: Enter name here</v>
      </c>
      <c r="B145" s="149">
        <f>Salary!$D$9</f>
        <v>9</v>
      </c>
      <c r="C145" s="149">
        <f>Salary!H9</f>
        <v>0</v>
      </c>
      <c r="D145" s="149">
        <f>Salary!H16</f>
        <v>0</v>
      </c>
      <c r="E145" s="149">
        <f t="shared" ref="E145:E149" si="27">SUM(C145:D145)</f>
        <v>0</v>
      </c>
      <c r="F145" s="157">
        <f t="shared" si="26"/>
        <v>0</v>
      </c>
      <c r="G145" s="158">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3">
      <c r="A146" s="151" t="str">
        <f>Salary!A10</f>
        <v>Co-PI 2: Enter name here</v>
      </c>
      <c r="B146" s="149">
        <f>Salary!$D$10</f>
        <v>9</v>
      </c>
      <c r="C146" s="149">
        <f>Salary!H10</f>
        <v>0</v>
      </c>
      <c r="D146" s="149">
        <f>Salary!H17</f>
        <v>0</v>
      </c>
      <c r="E146" s="149">
        <f t="shared" si="27"/>
        <v>0</v>
      </c>
      <c r="F146" s="157">
        <f t="shared" si="26"/>
        <v>0</v>
      </c>
      <c r="G146" s="158">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3">
      <c r="A147" s="151" t="str">
        <f>Salary!A11</f>
        <v>Co-PI 3:</v>
      </c>
      <c r="B147" s="149">
        <f>Salary!$D$11</f>
        <v>9</v>
      </c>
      <c r="C147" s="149">
        <f>Salary!H11</f>
        <v>0</v>
      </c>
      <c r="D147" s="149">
        <f>Salary!H18</f>
        <v>0</v>
      </c>
      <c r="E147" s="149">
        <f t="shared" si="27"/>
        <v>0</v>
      </c>
      <c r="F147" s="157">
        <f t="shared" si="26"/>
        <v>0</v>
      </c>
      <c r="G147" s="158">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3">
      <c r="A148" s="151" t="str">
        <f>Salary!A12</f>
        <v>Co-PI 4:</v>
      </c>
      <c r="B148" s="149">
        <f>Salary!$D$12</f>
        <v>9</v>
      </c>
      <c r="C148" s="149">
        <f>Salary!H12</f>
        <v>0</v>
      </c>
      <c r="D148" s="149">
        <f>Salary!H19</f>
        <v>0</v>
      </c>
      <c r="E148" s="149">
        <f t="shared" si="27"/>
        <v>0</v>
      </c>
      <c r="F148" s="157">
        <f t="shared" si="26"/>
        <v>0</v>
      </c>
      <c r="G148" s="158">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3">
      <c r="A149" s="151" t="str">
        <f>Salary!A13</f>
        <v>Co-PI 5:</v>
      </c>
      <c r="B149" s="149">
        <f>Salary!$D$13</f>
        <v>9</v>
      </c>
      <c r="C149" s="149">
        <f>Salary!H13</f>
        <v>0</v>
      </c>
      <c r="D149" s="149">
        <f>Salary!H20</f>
        <v>0</v>
      </c>
      <c r="E149" s="149">
        <f t="shared" si="27"/>
        <v>0</v>
      </c>
      <c r="F149" s="157">
        <f t="shared" si="26"/>
        <v>0</v>
      </c>
      <c r="G149" s="158">
        <f>E17*Instruction!E9+E24*Instruction!F9</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3">
      <c r="A150" s="154"/>
      <c r="B150" s="152" t="s">
        <v>117</v>
      </c>
      <c r="C150" s="152"/>
      <c r="D150" s="152"/>
      <c r="E150" s="152"/>
      <c r="F150" s="152"/>
      <c r="G150" s="153"/>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3">
      <c r="A151" s="148"/>
      <c r="B151" s="149" t="s">
        <v>28</v>
      </c>
      <c r="C151" s="149" t="s">
        <v>203</v>
      </c>
      <c r="D151" s="149" t="s">
        <v>10</v>
      </c>
      <c r="E151" s="149" t="s">
        <v>112</v>
      </c>
      <c r="F151" s="149" t="s">
        <v>205</v>
      </c>
      <c r="G151" s="150" t="s">
        <v>74</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3">
      <c r="A152" s="151" t="str">
        <f>Salary!A8</f>
        <v xml:space="preserve">PI: </v>
      </c>
      <c r="B152" s="149">
        <f>Salary!$D$8</f>
        <v>9</v>
      </c>
      <c r="C152" s="149">
        <f>Salary!I8</f>
        <v>0</v>
      </c>
      <c r="D152" s="149">
        <f>Salary!I15</f>
        <v>0</v>
      </c>
      <c r="E152" s="149">
        <f>SUM(C152:D152)</f>
        <v>0</v>
      </c>
      <c r="F152" s="157">
        <f t="shared" ref="F152:F157" si="28">SUM(F12,F19)</f>
        <v>0</v>
      </c>
      <c r="G152" s="160">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3">
      <c r="A153" s="151" t="str">
        <f>Salary!A9</f>
        <v>Co-PI 1: Enter name here</v>
      </c>
      <c r="B153" s="149">
        <f>Salary!$D$9</f>
        <v>9</v>
      </c>
      <c r="C153" s="149">
        <f>Salary!I9</f>
        <v>0</v>
      </c>
      <c r="D153" s="149">
        <f>Salary!I16</f>
        <v>0</v>
      </c>
      <c r="E153" s="149">
        <f t="shared" ref="E153:E157" si="29">SUM(C153:D153)</f>
        <v>0</v>
      </c>
      <c r="F153" s="157">
        <f t="shared" si="28"/>
        <v>0</v>
      </c>
      <c r="G153" s="160">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3">
      <c r="A154" s="151" t="str">
        <f>Salary!A10</f>
        <v>Co-PI 2: Enter name here</v>
      </c>
      <c r="B154" s="149">
        <f>Salary!$D$10</f>
        <v>9</v>
      </c>
      <c r="C154" s="149">
        <f>Salary!I10</f>
        <v>0</v>
      </c>
      <c r="D154" s="149">
        <f>Salary!I17</f>
        <v>0</v>
      </c>
      <c r="E154" s="149">
        <f t="shared" si="29"/>
        <v>0</v>
      </c>
      <c r="F154" s="157">
        <f t="shared" si="28"/>
        <v>0</v>
      </c>
      <c r="G154" s="160">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3">
      <c r="A155" s="151" t="str">
        <f>Salary!A11</f>
        <v>Co-PI 3:</v>
      </c>
      <c r="B155" s="149">
        <f>Salary!$D$11</f>
        <v>9</v>
      </c>
      <c r="C155" s="149">
        <f>Salary!I11</f>
        <v>0</v>
      </c>
      <c r="D155" s="149">
        <f>Salary!I18</f>
        <v>0</v>
      </c>
      <c r="E155" s="149">
        <f t="shared" si="29"/>
        <v>0</v>
      </c>
      <c r="F155" s="157">
        <f t="shared" si="28"/>
        <v>0</v>
      </c>
      <c r="G155" s="160">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3">
      <c r="A156" s="151" t="str">
        <f>Salary!A12</f>
        <v>Co-PI 4:</v>
      </c>
      <c r="B156" s="149">
        <f>Salary!$D$12</f>
        <v>9</v>
      </c>
      <c r="C156" s="149">
        <f>Salary!I12</f>
        <v>0</v>
      </c>
      <c r="D156" s="149">
        <f>Salary!I19</f>
        <v>0</v>
      </c>
      <c r="E156" s="149">
        <f t="shared" si="29"/>
        <v>0</v>
      </c>
      <c r="F156" s="157">
        <f t="shared" si="28"/>
        <v>0</v>
      </c>
      <c r="G156" s="16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3">
      <c r="A157" s="155" t="str">
        <f>Salary!A13</f>
        <v>Co-PI 5:</v>
      </c>
      <c r="B157" s="161">
        <f>Salary!$D$13</f>
        <v>9</v>
      </c>
      <c r="C157" s="161">
        <f>Salary!I13</f>
        <v>0</v>
      </c>
      <c r="D157" s="161">
        <f>Salary!I20</f>
        <v>0</v>
      </c>
      <c r="E157" s="161">
        <f t="shared" si="29"/>
        <v>0</v>
      </c>
      <c r="F157" s="162">
        <f t="shared" si="28"/>
        <v>0</v>
      </c>
      <c r="G157" s="163">
        <f>F17*Instruction!E9+F24*Instruction!F9</f>
        <v>0</v>
      </c>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3">
      <c r="A158" s="156"/>
      <c r="B158" s="156"/>
      <c r="C158" s="156"/>
      <c r="D158" s="156"/>
      <c r="E158" s="156"/>
      <c r="F158" s="156"/>
      <c r="G158" s="15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3">
      <c r="A159" s="156"/>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3">
      <c r="A160" s="18" t="s">
        <v>141</v>
      </c>
      <c r="B160" s="165" t="s">
        <v>2</v>
      </c>
      <c r="C160" s="165" t="s">
        <v>3</v>
      </c>
      <c r="D160" s="165" t="s">
        <v>4</v>
      </c>
      <c r="E160" s="165" t="s">
        <v>5</v>
      </c>
      <c r="F160" s="165" t="s">
        <v>6</v>
      </c>
      <c r="G160" s="165" t="s">
        <v>204</v>
      </c>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hidden="1" customHeight="1" outlineLevel="1" x14ac:dyDescent="0.3">
      <c r="A161" s="2" t="s">
        <v>201</v>
      </c>
      <c r="B161" s="164">
        <f>SUM(B79,B80,B81,B88,B89,B90,B91,B92,B93,B94,B95)</f>
        <v>0</v>
      </c>
      <c r="C161" s="164">
        <f t="shared" ref="C161:F161" si="30">SUM(C79,C80,C81,C88,C89,C90,C91,C92,C93,C94,C95)</f>
        <v>0</v>
      </c>
      <c r="D161" s="164">
        <f t="shared" si="30"/>
        <v>0</v>
      </c>
      <c r="E161" s="164">
        <f t="shared" si="30"/>
        <v>0</v>
      </c>
      <c r="F161" s="164">
        <f t="shared" si="30"/>
        <v>0</v>
      </c>
      <c r="G161" s="289">
        <f>SUM(B161:F161)</f>
        <v>0</v>
      </c>
      <c r="H161" s="4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collapsed="1" x14ac:dyDescent="0.3">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3">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3">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3">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3">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3">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3">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3">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3">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3">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3">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3">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3">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3">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3">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3">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3">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3">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3">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3">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3">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3">
      <c r="A183" s="2"/>
      <c r="B183" s="2"/>
      <c r="C183" s="2"/>
      <c r="D183" s="2"/>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3">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3">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3">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3">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3">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3">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3">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3">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3">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3">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3">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3">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3">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3">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3">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3">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3">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3">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3">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3">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3">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3">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3">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3">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3">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3">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3">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3">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3">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3">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3">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3">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3">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3">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3">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3">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3">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3">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3">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4.25" customHeight="1" x14ac:dyDescent="0.3">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sheetData>
  <sheetProtection algorithmName="SHA-512" hashValue="wdUW1xvAZR6NXSPEaTjmF7uCsTKJuIBLwND4tfVmoGD7FvY8twbCALmGhRN8Mnts8MK4i9Lk+6DSfxPdz43okw==" saltValue="AEM/uhQu9DUSAzl26o5tQw==" spinCount="100000" sheet="1" objects="1" scenarios="1"/>
  <mergeCells count="13">
    <mergeCell ref="A1:G1"/>
    <mergeCell ref="B126:G126"/>
    <mergeCell ref="B134:G134"/>
    <mergeCell ref="T10:U10"/>
    <mergeCell ref="V10:W10"/>
    <mergeCell ref="P10:Q10"/>
    <mergeCell ref="R10:S10"/>
    <mergeCell ref="B118:G118"/>
    <mergeCell ref="A2:G2"/>
    <mergeCell ref="C4:G4"/>
    <mergeCell ref="C5:G5"/>
    <mergeCell ref="C6:G6"/>
    <mergeCell ref="C3:G3"/>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58203125" defaultRowHeight="14" x14ac:dyDescent="0.3"/>
  <cols>
    <col min="1" max="1" width="29.5" style="156" customWidth="1"/>
    <col min="2" max="2" width="14.33203125" style="156" customWidth="1"/>
    <col min="3" max="3" width="15" style="156" bestFit="1" customWidth="1"/>
    <col min="4" max="4" width="15.08203125" style="156" bestFit="1" customWidth="1"/>
    <col min="5" max="5" width="12.83203125" style="156" bestFit="1" customWidth="1"/>
    <col min="6" max="6" width="13.5" style="156" customWidth="1"/>
    <col min="7" max="7" width="11.08203125" style="156" customWidth="1"/>
    <col min="8" max="16384" width="8.58203125" style="156"/>
  </cols>
  <sheetData>
    <row r="1" spans="1:8" x14ac:dyDescent="0.3">
      <c r="A1" s="167" t="str">
        <f>'Main Budget'!A117</f>
        <v>Use for Sponsor Portal Data Entry</v>
      </c>
    </row>
    <row r="2" spans="1:8" x14ac:dyDescent="0.3">
      <c r="B2" s="570" t="str">
        <f>'Main Budget'!B118</f>
        <v>YEAR 1</v>
      </c>
      <c r="C2" s="570"/>
      <c r="D2" s="570"/>
      <c r="E2" s="570"/>
      <c r="F2" s="570"/>
      <c r="G2" s="570"/>
    </row>
    <row r="3" spans="1:8" x14ac:dyDescent="0.3">
      <c r="B3" s="168" t="str">
        <f>'Main Budget'!B119</f>
        <v>Month Appt</v>
      </c>
      <c r="C3" s="168" t="str">
        <f>'Main Budget'!C119</f>
        <v>Acad/Cal</v>
      </c>
      <c r="D3" s="168" t="str">
        <f>'Main Budget'!D119</f>
        <v>Summer</v>
      </c>
      <c r="E3" s="168" t="str">
        <f>'Main Budget'!E119</f>
        <v>Months Total</v>
      </c>
      <c r="F3" s="168" t="str">
        <f>'Main Budget'!F119</f>
        <v>Salary Requested</v>
      </c>
      <c r="G3" s="168" t="str">
        <f>'Main Budget'!G119</f>
        <v xml:space="preserve">Fringe </v>
      </c>
      <c r="H3" s="168" t="s">
        <v>50</v>
      </c>
    </row>
    <row r="4" spans="1:8" x14ac:dyDescent="0.3">
      <c r="A4" s="156" t="str">
        <f>'Main Budget'!A120</f>
        <v xml:space="preserve">PI: </v>
      </c>
      <c r="B4" s="168">
        <f>'Main Budget'!B120</f>
        <v>9</v>
      </c>
      <c r="C4" s="169">
        <f>'Main Budget'!C120</f>
        <v>0</v>
      </c>
      <c r="D4" s="169">
        <f>'Main Budget'!D120</f>
        <v>0</v>
      </c>
      <c r="E4" s="169">
        <f>'Main Budget'!E120</f>
        <v>0</v>
      </c>
      <c r="F4" s="170">
        <f>'Main Budget'!F120</f>
        <v>0</v>
      </c>
      <c r="G4" s="170">
        <f>ROUND('Main Budget'!G120,0)</f>
        <v>0</v>
      </c>
      <c r="H4" s="170">
        <f>SUM(F4:G4)</f>
        <v>0</v>
      </c>
    </row>
    <row r="5" spans="1:8" x14ac:dyDescent="0.3">
      <c r="A5" s="156" t="str">
        <f>'Main Budget'!A121</f>
        <v>Co-PI 1: Enter name here</v>
      </c>
      <c r="B5" s="168">
        <f>'Main Budget'!B121</f>
        <v>9</v>
      </c>
      <c r="C5" s="169">
        <f>'Main Budget'!C121</f>
        <v>0</v>
      </c>
      <c r="D5" s="169">
        <f>'Main Budget'!D121</f>
        <v>0</v>
      </c>
      <c r="E5" s="169">
        <f>'Main Budget'!E121</f>
        <v>0</v>
      </c>
      <c r="F5" s="170">
        <f>'Main Budget'!F121</f>
        <v>0</v>
      </c>
      <c r="G5" s="170">
        <f>ROUND('Main Budget'!G121,0)</f>
        <v>0</v>
      </c>
      <c r="H5" s="170">
        <f t="shared" ref="H5:H9" si="0">SUM(F5:G5)</f>
        <v>0</v>
      </c>
    </row>
    <row r="6" spans="1:8" x14ac:dyDescent="0.3">
      <c r="A6" s="156" t="str">
        <f>'Main Budget'!A122</f>
        <v>Co-PI 2: Enter name here</v>
      </c>
      <c r="B6" s="168">
        <f>'Main Budget'!B122</f>
        <v>9</v>
      </c>
      <c r="C6" s="169">
        <f>'Main Budget'!C122</f>
        <v>0</v>
      </c>
      <c r="D6" s="169">
        <f>'Main Budget'!D122</f>
        <v>0</v>
      </c>
      <c r="E6" s="169">
        <f>'Main Budget'!E122</f>
        <v>0</v>
      </c>
      <c r="F6" s="170">
        <f>'Main Budget'!F122</f>
        <v>0</v>
      </c>
      <c r="G6" s="170">
        <f>ROUND('Main Budget'!G122,0)</f>
        <v>0</v>
      </c>
      <c r="H6" s="170">
        <f t="shared" si="0"/>
        <v>0</v>
      </c>
    </row>
    <row r="7" spans="1:8" x14ac:dyDescent="0.3">
      <c r="A7" s="156" t="str">
        <f>'Main Budget'!A123</f>
        <v>Co-PI 3:</v>
      </c>
      <c r="B7" s="168">
        <f>'Main Budget'!B123</f>
        <v>9</v>
      </c>
      <c r="C7" s="169">
        <f>'Main Budget'!C123</f>
        <v>0</v>
      </c>
      <c r="D7" s="169">
        <f>'Main Budget'!D123</f>
        <v>0</v>
      </c>
      <c r="E7" s="169">
        <f>'Main Budget'!E123</f>
        <v>0</v>
      </c>
      <c r="F7" s="170">
        <f>'Main Budget'!F123</f>
        <v>0</v>
      </c>
      <c r="G7" s="170">
        <f>ROUND('Main Budget'!G123,0)</f>
        <v>0</v>
      </c>
      <c r="H7" s="170">
        <f t="shared" si="0"/>
        <v>0</v>
      </c>
    </row>
    <row r="8" spans="1:8" x14ac:dyDescent="0.3">
      <c r="A8" s="156" t="str">
        <f>'Main Budget'!A124</f>
        <v>Co-PI 4:</v>
      </c>
      <c r="B8" s="168">
        <f>'Main Budget'!B124</f>
        <v>9</v>
      </c>
      <c r="C8" s="169">
        <f>'Main Budget'!C124</f>
        <v>0</v>
      </c>
      <c r="D8" s="169">
        <f>'Main Budget'!D124</f>
        <v>0</v>
      </c>
      <c r="E8" s="169">
        <f>'Main Budget'!E124</f>
        <v>0</v>
      </c>
      <c r="F8" s="170">
        <f>'Main Budget'!F124</f>
        <v>0</v>
      </c>
      <c r="G8" s="170">
        <f>ROUND('Main Budget'!G124,0)</f>
        <v>0</v>
      </c>
      <c r="H8" s="170">
        <f t="shared" si="0"/>
        <v>0</v>
      </c>
    </row>
    <row r="9" spans="1:8" x14ac:dyDescent="0.3">
      <c r="A9" s="156" t="str">
        <f>'Main Budget'!A125</f>
        <v>Co-PI 5:</v>
      </c>
      <c r="B9" s="168">
        <f>'Main Budget'!B125</f>
        <v>9</v>
      </c>
      <c r="C9" s="169">
        <f>'Main Budget'!C125</f>
        <v>0</v>
      </c>
      <c r="D9" s="169">
        <f>'Main Budget'!D125</f>
        <v>0</v>
      </c>
      <c r="E9" s="169">
        <f>'Main Budget'!E125</f>
        <v>0</v>
      </c>
      <c r="F9" s="170">
        <f>'Main Budget'!F125</f>
        <v>0</v>
      </c>
      <c r="G9" s="170">
        <f>ROUND('Main Budget'!G125,0)</f>
        <v>0</v>
      </c>
      <c r="H9" s="170">
        <f t="shared" si="0"/>
        <v>0</v>
      </c>
    </row>
    <row r="10" spans="1:8" x14ac:dyDescent="0.3">
      <c r="C10" s="169"/>
      <c r="D10" s="169"/>
      <c r="E10" s="169"/>
      <c r="F10" s="170"/>
      <c r="G10" s="170"/>
    </row>
    <row r="11" spans="1:8" x14ac:dyDescent="0.3">
      <c r="B11" s="156" t="str">
        <f>Salary!B74</f>
        <v>No. of Personnel</v>
      </c>
      <c r="C11" s="169" t="str">
        <f>Salary!C74</f>
        <v xml:space="preserve">Total Cal Months </v>
      </c>
      <c r="D11" s="169" t="str">
        <f>Salary!D74</f>
        <v>Requested Salary</v>
      </c>
      <c r="E11" s="169" t="str">
        <f>Salary!E74</f>
        <v>Fringe Benefits</v>
      </c>
      <c r="F11" s="170" t="s">
        <v>204</v>
      </c>
      <c r="G11" s="170"/>
    </row>
    <row r="12" spans="1:8" x14ac:dyDescent="0.3">
      <c r="A12" s="156" t="str">
        <f>Salary!A74</f>
        <v>Post Doctoral Associate</v>
      </c>
      <c r="B12" s="168">
        <f>Salary!B75</f>
        <v>0</v>
      </c>
      <c r="C12" s="169">
        <f>Salary!C75</f>
        <v>0</v>
      </c>
      <c r="D12" s="170">
        <f>Salary!D75</f>
        <v>0</v>
      </c>
      <c r="E12" s="170">
        <f>ROUND(Salary!E75,0)</f>
        <v>0</v>
      </c>
      <c r="F12" s="170">
        <f>SUM(D12:E12)</f>
        <v>0</v>
      </c>
      <c r="G12" s="170"/>
    </row>
    <row r="13" spans="1:8" x14ac:dyDescent="0.3">
      <c r="A13" s="156" t="str">
        <f>Salary!A81</f>
        <v>Graduate Students</v>
      </c>
      <c r="B13" s="168">
        <f>Salary!B82</f>
        <v>0</v>
      </c>
      <c r="C13" s="169">
        <f>Salary!C82</f>
        <v>0</v>
      </c>
      <c r="D13" s="170">
        <f>Salary!D82</f>
        <v>0</v>
      </c>
      <c r="E13" s="170">
        <f>ROUND(Salary!E82,0)</f>
        <v>0</v>
      </c>
      <c r="F13" s="170">
        <f>SUM(D13:E13)</f>
        <v>0</v>
      </c>
      <c r="G13" s="170"/>
    </row>
    <row r="14" spans="1:8" x14ac:dyDescent="0.3">
      <c r="A14" s="156" t="str">
        <f>Salary!A88</f>
        <v xml:space="preserve">Undergraduate Students </v>
      </c>
      <c r="B14" s="168">
        <f>Salary!B89</f>
        <v>0</v>
      </c>
      <c r="C14" s="169">
        <f>Salary!C89</f>
        <v>0</v>
      </c>
      <c r="D14" s="170">
        <f>Salary!D89</f>
        <v>0</v>
      </c>
      <c r="E14" s="170">
        <f>ROUND(Salary!E89,0)</f>
        <v>0</v>
      </c>
      <c r="F14" s="170">
        <f t="shared" ref="F14" si="1">SUM(D14:E14)</f>
        <v>0</v>
      </c>
      <c r="G14" s="170"/>
    </row>
    <row r="15" spans="1:8" x14ac:dyDescent="0.3">
      <c r="C15" s="169"/>
      <c r="D15" s="169"/>
      <c r="E15" s="169"/>
      <c r="F15" s="170"/>
      <c r="G15" s="170"/>
    </row>
    <row r="16" spans="1:8" x14ac:dyDescent="0.3">
      <c r="B16" s="156" t="str">
        <f>Salary!B95</f>
        <v xml:space="preserve">Total Cal Months </v>
      </c>
      <c r="C16" s="169" t="str">
        <f>Salary!C95</f>
        <v>Requested Salary</v>
      </c>
      <c r="D16" s="169" t="str">
        <f>Salary!D95</f>
        <v>Fringe Benefits</v>
      </c>
      <c r="E16" s="170" t="s">
        <v>204</v>
      </c>
      <c r="F16" s="170"/>
      <c r="G16" s="170"/>
    </row>
    <row r="17" spans="1:8" x14ac:dyDescent="0.3">
      <c r="A17" s="156" t="str">
        <f>Salary!A95</f>
        <v xml:space="preserve">Staff 1 </v>
      </c>
      <c r="B17" s="168">
        <f>Salary!B96</f>
        <v>0</v>
      </c>
      <c r="C17" s="170">
        <f>Salary!C96</f>
        <v>0</v>
      </c>
      <c r="D17" s="170">
        <f>ROUND(Salary!D96,0)</f>
        <v>0</v>
      </c>
      <c r="E17" s="170">
        <f t="shared" ref="E17:E21" si="2">SUM(C17:D17)</f>
        <v>0</v>
      </c>
      <c r="F17" s="170"/>
      <c r="G17" s="170"/>
    </row>
    <row r="18" spans="1:8" x14ac:dyDescent="0.3">
      <c r="A18" s="156" t="str">
        <f>Salary!A102</f>
        <v xml:space="preserve">Staff 2 </v>
      </c>
      <c r="B18" s="168">
        <f>Salary!B103</f>
        <v>0</v>
      </c>
      <c r="C18" s="170">
        <f>Salary!C103</f>
        <v>0</v>
      </c>
      <c r="D18" s="170">
        <f>ROUND(Salary!D103,0)</f>
        <v>0</v>
      </c>
      <c r="E18" s="170">
        <f t="shared" si="2"/>
        <v>0</v>
      </c>
      <c r="F18" s="170"/>
      <c r="G18" s="170"/>
    </row>
    <row r="19" spans="1:8" x14ac:dyDescent="0.3">
      <c r="A19" s="156" t="str">
        <f>Salary!A109</f>
        <v xml:space="preserve">Staff 3 </v>
      </c>
      <c r="B19" s="168">
        <f>Salary!B110</f>
        <v>0</v>
      </c>
      <c r="C19" s="170">
        <f>Salary!C110</f>
        <v>0</v>
      </c>
      <c r="D19" s="170">
        <f>ROUND(Salary!D110,0)</f>
        <v>0</v>
      </c>
      <c r="E19" s="170">
        <f t="shared" si="2"/>
        <v>0</v>
      </c>
      <c r="F19" s="170"/>
      <c r="G19" s="170"/>
    </row>
    <row r="20" spans="1:8" x14ac:dyDescent="0.3">
      <c r="A20" s="156" t="str">
        <f>Salary!$A$116</f>
        <v xml:space="preserve">Staff 4 </v>
      </c>
      <c r="B20" s="168">
        <f>Salary!B117</f>
        <v>0</v>
      </c>
      <c r="C20" s="170">
        <f>Salary!C117</f>
        <v>0</v>
      </c>
      <c r="D20" s="170">
        <f>ROUND(Salary!D117,0)</f>
        <v>0</v>
      </c>
      <c r="E20" s="170">
        <f t="shared" si="2"/>
        <v>0</v>
      </c>
      <c r="F20" s="170"/>
      <c r="G20" s="170"/>
    </row>
    <row r="21" spans="1:8" x14ac:dyDescent="0.3">
      <c r="A21" s="156" t="str">
        <f>Salary!$A$123</f>
        <v>Staff 5</v>
      </c>
      <c r="B21" s="168">
        <f>Salary!B124</f>
        <v>0</v>
      </c>
      <c r="C21" s="170">
        <f>Salary!C124</f>
        <v>0</v>
      </c>
      <c r="D21" s="170">
        <f>ROUND(Salary!D124,0)</f>
        <v>0</v>
      </c>
      <c r="E21" s="170">
        <f t="shared" si="2"/>
        <v>0</v>
      </c>
      <c r="F21" s="170"/>
      <c r="G21" s="170"/>
    </row>
    <row r="22" spans="1:8" x14ac:dyDescent="0.3">
      <c r="B22" s="168"/>
      <c r="C22" s="170"/>
      <c r="D22" s="170"/>
      <c r="E22" s="170"/>
      <c r="F22" s="170"/>
      <c r="G22" s="170"/>
    </row>
    <row r="23" spans="1:8" x14ac:dyDescent="0.3">
      <c r="B23" s="156" t="str">
        <f>Salary!B130</f>
        <v xml:space="preserve">Total Sum Months </v>
      </c>
      <c r="C23" s="169" t="str">
        <f>Salary!C130</f>
        <v>Requested Salary</v>
      </c>
      <c r="D23" s="169" t="str">
        <f>Salary!D130</f>
        <v>Fringe Benefits</v>
      </c>
      <c r="E23" s="170" t="s">
        <v>204</v>
      </c>
      <c r="F23" s="170"/>
      <c r="G23" s="170"/>
    </row>
    <row r="24" spans="1:8" x14ac:dyDescent="0.3">
      <c r="A24" s="156" t="str">
        <f>Salary!A130</f>
        <v>Faculty 1 (Summer)</v>
      </c>
      <c r="B24" s="168">
        <f>Salary!B131</f>
        <v>0</v>
      </c>
      <c r="C24" s="170">
        <f>Salary!C131</f>
        <v>0</v>
      </c>
      <c r="D24" s="170">
        <f>ROUND(Salary!D131,0)</f>
        <v>0</v>
      </c>
      <c r="E24" s="170">
        <f t="shared" ref="E24:E28" si="3">SUM(C24:D24)</f>
        <v>0</v>
      </c>
      <c r="F24" s="170"/>
      <c r="G24" s="170"/>
    </row>
    <row r="25" spans="1:8" x14ac:dyDescent="0.3">
      <c r="A25" s="156" t="str">
        <f>Salary!A137</f>
        <v>Faculty 2 (Summer)</v>
      </c>
      <c r="B25" s="168">
        <f>Salary!B138</f>
        <v>0</v>
      </c>
      <c r="C25" s="170">
        <f>Salary!C138</f>
        <v>0</v>
      </c>
      <c r="D25" s="170">
        <f>ROUND(Salary!D138,0)</f>
        <v>0</v>
      </c>
      <c r="E25" s="170">
        <f t="shared" si="3"/>
        <v>0</v>
      </c>
      <c r="F25" s="170"/>
      <c r="G25" s="170"/>
    </row>
    <row r="26" spans="1:8" x14ac:dyDescent="0.3">
      <c r="A26" s="156" t="str">
        <f>Salary!A144</f>
        <v>Faculty 3 (Summer)</v>
      </c>
      <c r="B26" s="168">
        <f>Salary!B145</f>
        <v>0</v>
      </c>
      <c r="C26" s="170">
        <f>Salary!C145</f>
        <v>0</v>
      </c>
      <c r="D26" s="170">
        <f>ROUND(Salary!D1457,0)</f>
        <v>0</v>
      </c>
      <c r="E26" s="170">
        <f t="shared" si="3"/>
        <v>0</v>
      </c>
      <c r="F26" s="170"/>
      <c r="G26" s="170"/>
    </row>
    <row r="27" spans="1:8" x14ac:dyDescent="0.3">
      <c r="A27" s="156" t="str">
        <f>Salary!$A$151</f>
        <v>Faculty 4 (Summer)</v>
      </c>
      <c r="B27" s="168">
        <f>Salary!B152</f>
        <v>0</v>
      </c>
      <c r="C27" s="170">
        <f>Salary!C152</f>
        <v>0</v>
      </c>
      <c r="D27" s="170">
        <f>ROUND(Salary!D152,0)</f>
        <v>0</v>
      </c>
      <c r="E27" s="170">
        <f t="shared" si="3"/>
        <v>0</v>
      </c>
      <c r="F27" s="170"/>
      <c r="G27" s="170"/>
    </row>
    <row r="28" spans="1:8" x14ac:dyDescent="0.3">
      <c r="A28" s="156" t="str">
        <f>Salary!$A$158</f>
        <v>Faculty 5 (Summer)</v>
      </c>
      <c r="B28" s="168">
        <f>Salary!B159</f>
        <v>0</v>
      </c>
      <c r="C28" s="170">
        <f>Salary!C159</f>
        <v>0</v>
      </c>
      <c r="D28" s="170">
        <f>ROUND(Salary!D159,0)</f>
        <v>0</v>
      </c>
      <c r="E28" s="170">
        <f t="shared" si="3"/>
        <v>0</v>
      </c>
      <c r="F28" s="170"/>
      <c r="G28" s="170"/>
    </row>
    <row r="29" spans="1:8" x14ac:dyDescent="0.3">
      <c r="C29" s="169"/>
      <c r="D29" s="169"/>
      <c r="E29" s="169"/>
      <c r="F29" s="170"/>
      <c r="G29" s="170"/>
    </row>
    <row r="30" spans="1:8" x14ac:dyDescent="0.3">
      <c r="B30" s="570" t="str">
        <f>'Main Budget'!B126</f>
        <v>YEAR 2</v>
      </c>
      <c r="C30" s="570"/>
      <c r="D30" s="570"/>
      <c r="E30" s="570"/>
      <c r="F30" s="570"/>
      <c r="G30" s="570"/>
    </row>
    <row r="31" spans="1:8" x14ac:dyDescent="0.3">
      <c r="B31" s="168" t="str">
        <f>'Main Budget'!B127</f>
        <v>Month Appt</v>
      </c>
      <c r="C31" s="168" t="str">
        <f>'Main Budget'!C127</f>
        <v>Acad/Cal</v>
      </c>
      <c r="D31" s="168" t="str">
        <f>'Main Budget'!D127</f>
        <v>Summer</v>
      </c>
      <c r="E31" s="168" t="str">
        <f>'Main Budget'!E127</f>
        <v>Months Total</v>
      </c>
      <c r="F31" s="168" t="str">
        <f>'Main Budget'!F127</f>
        <v>Salary Requested</v>
      </c>
      <c r="G31" s="168" t="str">
        <f>'Main Budget'!G127</f>
        <v xml:space="preserve">Fringe </v>
      </c>
      <c r="H31" s="170" t="s">
        <v>204</v>
      </c>
    </row>
    <row r="32" spans="1:8" x14ac:dyDescent="0.3">
      <c r="A32" s="156" t="str">
        <f>'Main Budget'!A128</f>
        <v xml:space="preserve">PI: </v>
      </c>
      <c r="B32" s="168">
        <f>'Main Budget'!B128</f>
        <v>9</v>
      </c>
      <c r="C32" s="169">
        <f>'Main Budget'!C128</f>
        <v>0</v>
      </c>
      <c r="D32" s="169">
        <f>'Main Budget'!D128</f>
        <v>0</v>
      </c>
      <c r="E32" s="169">
        <f>'Main Budget'!E128</f>
        <v>0</v>
      </c>
      <c r="F32" s="171">
        <f>'Main Budget'!F128</f>
        <v>0</v>
      </c>
      <c r="G32" s="171">
        <f>ROUND('Main Budget'!G128,0)</f>
        <v>0</v>
      </c>
      <c r="H32" s="170">
        <f t="shared" ref="H32:H37" si="4">SUM(F32:G32)</f>
        <v>0</v>
      </c>
    </row>
    <row r="33" spans="1:8" x14ac:dyDescent="0.3">
      <c r="A33" s="156" t="str">
        <f>'Main Budget'!A129</f>
        <v>Co-PI 1: Enter name here</v>
      </c>
      <c r="B33" s="168">
        <f>'Main Budget'!B129</f>
        <v>9</v>
      </c>
      <c r="C33" s="169">
        <f>'Main Budget'!C129</f>
        <v>0</v>
      </c>
      <c r="D33" s="169">
        <f>'Main Budget'!D129</f>
        <v>0</v>
      </c>
      <c r="E33" s="169">
        <f>'Main Budget'!E129</f>
        <v>0</v>
      </c>
      <c r="F33" s="171">
        <f>'Main Budget'!F129</f>
        <v>0</v>
      </c>
      <c r="G33" s="171">
        <f>ROUND('Main Budget'!G129,0)</f>
        <v>0</v>
      </c>
      <c r="H33" s="170">
        <f t="shared" si="4"/>
        <v>0</v>
      </c>
    </row>
    <row r="34" spans="1:8" x14ac:dyDescent="0.3">
      <c r="A34" s="156" t="str">
        <f>'Main Budget'!A130</f>
        <v>Co-PI 2: Enter name here</v>
      </c>
      <c r="B34" s="168">
        <f>'Main Budget'!B130</f>
        <v>9</v>
      </c>
      <c r="C34" s="169">
        <f>'Main Budget'!C130</f>
        <v>0</v>
      </c>
      <c r="D34" s="169">
        <f>'Main Budget'!D130</f>
        <v>0</v>
      </c>
      <c r="E34" s="169">
        <f>'Main Budget'!E130</f>
        <v>0</v>
      </c>
      <c r="F34" s="171">
        <f>'Main Budget'!F130</f>
        <v>0</v>
      </c>
      <c r="G34" s="171">
        <f>ROUND('Main Budget'!G130,0)</f>
        <v>0</v>
      </c>
      <c r="H34" s="170">
        <f t="shared" si="4"/>
        <v>0</v>
      </c>
    </row>
    <row r="35" spans="1:8" x14ac:dyDescent="0.3">
      <c r="A35" s="156" t="str">
        <f>'Main Budget'!A131</f>
        <v>Co-PI 3:</v>
      </c>
      <c r="B35" s="168">
        <f>'Main Budget'!B131</f>
        <v>9</v>
      </c>
      <c r="C35" s="169">
        <f>'Main Budget'!C131</f>
        <v>0</v>
      </c>
      <c r="D35" s="169">
        <f>'Main Budget'!D131</f>
        <v>0</v>
      </c>
      <c r="E35" s="169">
        <f>'Main Budget'!E131</f>
        <v>0</v>
      </c>
      <c r="F35" s="171">
        <f>'Main Budget'!F131</f>
        <v>0</v>
      </c>
      <c r="G35" s="171">
        <f>ROUND('Main Budget'!G131,0)</f>
        <v>0</v>
      </c>
      <c r="H35" s="170">
        <f t="shared" si="4"/>
        <v>0</v>
      </c>
    </row>
    <row r="36" spans="1:8" x14ac:dyDescent="0.3">
      <c r="A36" s="156" t="str">
        <f>'Main Budget'!A132</f>
        <v>Co-PI 4:</v>
      </c>
      <c r="B36" s="168">
        <f>'Main Budget'!B132</f>
        <v>9</v>
      </c>
      <c r="C36" s="169">
        <f>'Main Budget'!C132</f>
        <v>0</v>
      </c>
      <c r="D36" s="169">
        <f>'Main Budget'!D132</f>
        <v>0</v>
      </c>
      <c r="E36" s="169">
        <f>'Main Budget'!E132</f>
        <v>0</v>
      </c>
      <c r="F36" s="171">
        <f>'Main Budget'!F132</f>
        <v>0</v>
      </c>
      <c r="G36" s="171">
        <f>ROUND('Main Budget'!G132,0)</f>
        <v>0</v>
      </c>
      <c r="H36" s="170">
        <f t="shared" si="4"/>
        <v>0</v>
      </c>
    </row>
    <row r="37" spans="1:8" x14ac:dyDescent="0.3">
      <c r="A37" s="156" t="str">
        <f>'Main Budget'!A133</f>
        <v>Co-PI 5:</v>
      </c>
      <c r="B37" s="168">
        <f>'Main Budget'!B133</f>
        <v>9</v>
      </c>
      <c r="C37" s="169">
        <f>'Main Budget'!C133</f>
        <v>0</v>
      </c>
      <c r="D37" s="169">
        <f>'Main Budget'!D133</f>
        <v>0</v>
      </c>
      <c r="E37" s="169">
        <f>'Main Budget'!E133</f>
        <v>0</v>
      </c>
      <c r="F37" s="171">
        <f>'Main Budget'!F133</f>
        <v>0</v>
      </c>
      <c r="G37" s="171">
        <f>ROUND('Main Budget'!G133,0)</f>
        <v>0</v>
      </c>
      <c r="H37" s="170">
        <f t="shared" si="4"/>
        <v>0</v>
      </c>
    </row>
    <row r="38" spans="1:8" x14ac:dyDescent="0.3">
      <c r="B38" s="168"/>
      <c r="C38" s="169"/>
      <c r="D38" s="169"/>
      <c r="E38" s="169"/>
      <c r="F38" s="171"/>
      <c r="G38" s="171"/>
    </row>
    <row r="39" spans="1:8" x14ac:dyDescent="0.3">
      <c r="B39" s="168" t="str">
        <f>Salary!B74</f>
        <v>No. of Personnel</v>
      </c>
      <c r="C39" s="169" t="str">
        <f>Salary!C74</f>
        <v xml:space="preserve">Total Cal Months </v>
      </c>
      <c r="D39" s="169" t="str">
        <f>Salary!D74</f>
        <v>Requested Salary</v>
      </c>
      <c r="E39" s="169" t="str">
        <f>Salary!E74</f>
        <v>Fringe Benefits</v>
      </c>
      <c r="F39" s="170" t="s">
        <v>204</v>
      </c>
      <c r="G39" s="171"/>
    </row>
    <row r="40" spans="1:8" x14ac:dyDescent="0.3">
      <c r="A40" s="156" t="str">
        <f>Salary!A74</f>
        <v>Post Doctoral Associate</v>
      </c>
      <c r="B40" s="168">
        <f>Salary!B76</f>
        <v>0</v>
      </c>
      <c r="C40" s="169">
        <f>Salary!C76</f>
        <v>0</v>
      </c>
      <c r="D40" s="170">
        <f>Salary!D76</f>
        <v>0</v>
      </c>
      <c r="E40" s="170">
        <f>ROUND(Salary!E76,0)</f>
        <v>0</v>
      </c>
      <c r="F40" s="170">
        <f t="shared" ref="F40:F42" si="5">SUM(D40:E40)</f>
        <v>0</v>
      </c>
      <c r="G40" s="171"/>
    </row>
    <row r="41" spans="1:8" x14ac:dyDescent="0.3">
      <c r="A41" s="156" t="str">
        <f>Salary!$A$81</f>
        <v>Graduate Students</v>
      </c>
      <c r="B41" s="168">
        <f>Salary!B83</f>
        <v>0</v>
      </c>
      <c r="C41" s="169">
        <f>Salary!C83</f>
        <v>0</v>
      </c>
      <c r="D41" s="170">
        <f>Salary!D83</f>
        <v>0</v>
      </c>
      <c r="E41" s="170">
        <f>ROUND(Salary!E83,0)</f>
        <v>0</v>
      </c>
      <c r="F41" s="170">
        <f t="shared" si="5"/>
        <v>0</v>
      </c>
      <c r="G41" s="171"/>
    </row>
    <row r="42" spans="1:8" x14ac:dyDescent="0.3">
      <c r="A42" s="156" t="str">
        <f>Salary!$A$88</f>
        <v xml:space="preserve">Undergraduate Students </v>
      </c>
      <c r="B42" s="168">
        <f>Salary!B90</f>
        <v>0</v>
      </c>
      <c r="C42" s="169">
        <f>Salary!C90</f>
        <v>0</v>
      </c>
      <c r="D42" s="170">
        <f>Salary!D90</f>
        <v>0</v>
      </c>
      <c r="E42" s="170">
        <f>ROUND(Salary!E90,0)</f>
        <v>0</v>
      </c>
      <c r="F42" s="170">
        <f t="shared" si="5"/>
        <v>0</v>
      </c>
      <c r="G42" s="171"/>
    </row>
    <row r="43" spans="1:8" x14ac:dyDescent="0.3">
      <c r="B43" s="168"/>
      <c r="C43" s="169"/>
      <c r="D43" s="169"/>
      <c r="E43" s="169"/>
      <c r="F43" s="171"/>
      <c r="G43" s="171"/>
    </row>
    <row r="44" spans="1:8" x14ac:dyDescent="0.3">
      <c r="B44" s="168" t="str">
        <f>Salary!B95</f>
        <v xml:space="preserve">Total Cal Months </v>
      </c>
      <c r="C44" s="169" t="str">
        <f>Salary!C95</f>
        <v>Requested Salary</v>
      </c>
      <c r="D44" s="169" t="str">
        <f>Salary!D95</f>
        <v>Fringe Benefits</v>
      </c>
      <c r="E44" s="170" t="s">
        <v>204</v>
      </c>
      <c r="F44" s="171"/>
      <c r="G44" s="171"/>
    </row>
    <row r="45" spans="1:8" x14ac:dyDescent="0.3">
      <c r="A45" s="156" t="str">
        <f>Salary!$A$95</f>
        <v xml:space="preserve">Staff 1 </v>
      </c>
      <c r="B45" s="168">
        <f>Salary!B97</f>
        <v>0</v>
      </c>
      <c r="C45" s="170">
        <f>Salary!C97</f>
        <v>0</v>
      </c>
      <c r="D45" s="170">
        <f>ROUND(Salary!D97,0)</f>
        <v>0</v>
      </c>
      <c r="E45" s="170">
        <f t="shared" ref="E45:E49" si="6">SUM(C45:D45)</f>
        <v>0</v>
      </c>
      <c r="F45" s="171"/>
      <c r="G45" s="171"/>
    </row>
    <row r="46" spans="1:8" x14ac:dyDescent="0.3">
      <c r="A46" s="156" t="str">
        <f>Salary!$A$102</f>
        <v xml:space="preserve">Staff 2 </v>
      </c>
      <c r="B46" s="168">
        <f>Salary!B104</f>
        <v>0</v>
      </c>
      <c r="C46" s="170">
        <f>Salary!C104</f>
        <v>0</v>
      </c>
      <c r="D46" s="170">
        <f>ROUND(Salary!D104,0)</f>
        <v>0</v>
      </c>
      <c r="E46" s="170">
        <f t="shared" si="6"/>
        <v>0</v>
      </c>
      <c r="F46" s="171"/>
      <c r="G46" s="171"/>
    </row>
    <row r="47" spans="1:8" x14ac:dyDescent="0.3">
      <c r="A47" s="156" t="str">
        <f>Salary!$A$109</f>
        <v xml:space="preserve">Staff 3 </v>
      </c>
      <c r="B47" s="168">
        <f>Salary!B111</f>
        <v>0</v>
      </c>
      <c r="C47" s="170">
        <f>Salary!C111</f>
        <v>0</v>
      </c>
      <c r="D47" s="170">
        <f>ROUND(Salary!D111,0)</f>
        <v>0</v>
      </c>
      <c r="E47" s="170">
        <f t="shared" si="6"/>
        <v>0</v>
      </c>
      <c r="F47" s="171"/>
      <c r="G47" s="171"/>
    </row>
    <row r="48" spans="1:8" x14ac:dyDescent="0.3">
      <c r="A48" s="156" t="str">
        <f>Salary!$A$116</f>
        <v xml:space="preserve">Staff 4 </v>
      </c>
      <c r="B48" s="168">
        <f>Salary!B118</f>
        <v>0</v>
      </c>
      <c r="C48" s="170">
        <f>Salary!C118</f>
        <v>0</v>
      </c>
      <c r="D48" s="170">
        <f>ROUND(Salary!D118,0)</f>
        <v>0</v>
      </c>
      <c r="E48" s="170">
        <f t="shared" si="6"/>
        <v>0</v>
      </c>
      <c r="F48" s="171"/>
      <c r="G48" s="171"/>
    </row>
    <row r="49" spans="1:8" x14ac:dyDescent="0.3">
      <c r="A49" s="156" t="str">
        <f>Salary!$A$123</f>
        <v>Staff 5</v>
      </c>
      <c r="B49" s="168">
        <f>Salary!B125</f>
        <v>0</v>
      </c>
      <c r="C49" s="170">
        <f>Salary!C125</f>
        <v>0</v>
      </c>
      <c r="D49" s="170">
        <f>ROUND(Salary!D125,0)</f>
        <v>0</v>
      </c>
      <c r="E49" s="170">
        <f t="shared" si="6"/>
        <v>0</v>
      </c>
      <c r="F49" s="171"/>
      <c r="G49" s="171"/>
    </row>
    <row r="50" spans="1:8" x14ac:dyDescent="0.3">
      <c r="B50" s="168"/>
      <c r="C50" s="170"/>
      <c r="D50" s="170"/>
      <c r="E50" s="170"/>
      <c r="F50" s="171"/>
      <c r="G50" s="171"/>
    </row>
    <row r="51" spans="1:8" x14ac:dyDescent="0.3">
      <c r="B51" s="168" t="str">
        <f>Salary!B130</f>
        <v xml:space="preserve">Total Sum Months </v>
      </c>
      <c r="C51" s="169" t="str">
        <f>Salary!C130</f>
        <v>Requested Salary</v>
      </c>
      <c r="D51" s="169" t="str">
        <f>Salary!D130</f>
        <v>Fringe Benefits</v>
      </c>
      <c r="E51" s="170" t="s">
        <v>204</v>
      </c>
      <c r="F51" s="171"/>
      <c r="G51" s="171"/>
    </row>
    <row r="52" spans="1:8" x14ac:dyDescent="0.3">
      <c r="A52" s="156" t="str">
        <f>Salary!$A$130</f>
        <v>Faculty 1 (Summer)</v>
      </c>
      <c r="B52" s="168">
        <f>Salary!B132</f>
        <v>0</v>
      </c>
      <c r="C52" s="170">
        <f>Salary!C132</f>
        <v>0</v>
      </c>
      <c r="D52" s="170">
        <f>ROUND(Salary!D132,0)</f>
        <v>0</v>
      </c>
      <c r="E52" s="170">
        <f t="shared" ref="E52:E56" si="7">SUM(C52:D52)</f>
        <v>0</v>
      </c>
      <c r="F52" s="171"/>
      <c r="G52" s="171"/>
    </row>
    <row r="53" spans="1:8" x14ac:dyDescent="0.3">
      <c r="A53" s="156" t="str">
        <f>Salary!$A$137</f>
        <v>Faculty 2 (Summer)</v>
      </c>
      <c r="B53" s="168">
        <f>Salary!B139</f>
        <v>0</v>
      </c>
      <c r="C53" s="170">
        <f>Salary!C139</f>
        <v>0</v>
      </c>
      <c r="D53" s="170">
        <f>ROUND(Salary!D139,0)</f>
        <v>0</v>
      </c>
      <c r="E53" s="170">
        <f t="shared" si="7"/>
        <v>0</v>
      </c>
      <c r="F53" s="171"/>
      <c r="G53" s="171"/>
    </row>
    <row r="54" spans="1:8" x14ac:dyDescent="0.3">
      <c r="A54" s="156" t="str">
        <f>Salary!$A$144</f>
        <v>Faculty 3 (Summer)</v>
      </c>
      <c r="B54" s="168">
        <f>Salary!B146</f>
        <v>0</v>
      </c>
      <c r="C54" s="170">
        <f>Salary!C146</f>
        <v>0</v>
      </c>
      <c r="D54" s="170">
        <f>ROUND(Salary!D1468,0)</f>
        <v>0</v>
      </c>
      <c r="E54" s="170">
        <f t="shared" si="7"/>
        <v>0</v>
      </c>
      <c r="F54" s="171"/>
      <c r="G54" s="171"/>
    </row>
    <row r="55" spans="1:8" x14ac:dyDescent="0.3">
      <c r="A55" s="156" t="str">
        <f>Salary!$A$151</f>
        <v>Faculty 4 (Summer)</v>
      </c>
      <c r="B55" s="168">
        <f>Salary!B153</f>
        <v>0</v>
      </c>
      <c r="C55" s="170">
        <f>Salary!C153</f>
        <v>0</v>
      </c>
      <c r="D55" s="170">
        <f>ROUND(Salary!D1535,0)</f>
        <v>0</v>
      </c>
      <c r="E55" s="170">
        <f t="shared" si="7"/>
        <v>0</v>
      </c>
      <c r="F55" s="171"/>
      <c r="G55" s="171"/>
    </row>
    <row r="56" spans="1:8" x14ac:dyDescent="0.3">
      <c r="A56" s="156" t="str">
        <f>Salary!$A$158</f>
        <v>Faculty 5 (Summer)</v>
      </c>
      <c r="B56" s="168">
        <f>Salary!B160</f>
        <v>0</v>
      </c>
      <c r="C56" s="170">
        <f>Salary!C160</f>
        <v>0</v>
      </c>
      <c r="D56" s="170">
        <f>ROUND(Salary!D160,0)</f>
        <v>0</v>
      </c>
      <c r="E56" s="170">
        <f t="shared" si="7"/>
        <v>0</v>
      </c>
      <c r="F56" s="171"/>
      <c r="G56" s="171"/>
    </row>
    <row r="57" spans="1:8" x14ac:dyDescent="0.3">
      <c r="B57" s="168"/>
      <c r="C57" s="169"/>
      <c r="D57" s="169"/>
      <c r="E57" s="169"/>
      <c r="F57" s="171"/>
      <c r="G57" s="171"/>
    </row>
    <row r="58" spans="1:8" x14ac:dyDescent="0.3">
      <c r="B58" s="570" t="str">
        <f>'Main Budget'!B134</f>
        <v>YEAR 3</v>
      </c>
      <c r="C58" s="570"/>
      <c r="D58" s="570"/>
      <c r="E58" s="570"/>
      <c r="F58" s="570"/>
      <c r="G58" s="570"/>
    </row>
    <row r="59" spans="1:8" x14ac:dyDescent="0.3">
      <c r="B59" s="168" t="str">
        <f>'Main Budget'!B135</f>
        <v>Month Appt</v>
      </c>
      <c r="C59" s="168" t="str">
        <f>'Main Budget'!C135</f>
        <v>Acad/Cal</v>
      </c>
      <c r="D59" s="168" t="str">
        <f>'Main Budget'!D135</f>
        <v>Summer</v>
      </c>
      <c r="E59" s="168" t="str">
        <f>'Main Budget'!E135</f>
        <v>Months Total</v>
      </c>
      <c r="F59" s="168" t="str">
        <f>'Main Budget'!F135</f>
        <v>Salary Requested</v>
      </c>
      <c r="G59" s="168" t="str">
        <f>'Main Budget'!G135</f>
        <v xml:space="preserve">Fringe </v>
      </c>
      <c r="H59" s="170" t="s">
        <v>204</v>
      </c>
    </row>
    <row r="60" spans="1:8" x14ac:dyDescent="0.3">
      <c r="A60" s="156" t="str">
        <f>'Main Budget'!A136</f>
        <v xml:space="preserve">PI: </v>
      </c>
      <c r="B60" s="168">
        <f>'Main Budget'!B136</f>
        <v>9</v>
      </c>
      <c r="C60" s="169">
        <f>'Main Budget'!C136</f>
        <v>0</v>
      </c>
      <c r="D60" s="169">
        <f>'Main Budget'!D136</f>
        <v>0</v>
      </c>
      <c r="E60" s="169">
        <f>'Main Budget'!E136</f>
        <v>0</v>
      </c>
      <c r="F60" s="170">
        <f>'Main Budget'!F136</f>
        <v>0</v>
      </c>
      <c r="G60" s="170">
        <f>ROUND('Main Budget'!G136,0)</f>
        <v>0</v>
      </c>
      <c r="H60" s="170">
        <f t="shared" ref="H60:H65" si="8">SUM(F60:G60)</f>
        <v>0</v>
      </c>
    </row>
    <row r="61" spans="1:8" x14ac:dyDescent="0.3">
      <c r="A61" s="156" t="str">
        <f>'Main Budget'!A137</f>
        <v>Co-PI 1: Enter name here</v>
      </c>
      <c r="B61" s="168">
        <f>'Main Budget'!B137</f>
        <v>9</v>
      </c>
      <c r="C61" s="169">
        <f>'Main Budget'!C137</f>
        <v>0</v>
      </c>
      <c r="D61" s="169">
        <f>'Main Budget'!D137</f>
        <v>0</v>
      </c>
      <c r="E61" s="169">
        <f>'Main Budget'!E137</f>
        <v>0</v>
      </c>
      <c r="F61" s="170">
        <f>'Main Budget'!F137</f>
        <v>0</v>
      </c>
      <c r="G61" s="170">
        <f>ROUND('Main Budget'!G137,0)</f>
        <v>0</v>
      </c>
      <c r="H61" s="170">
        <f t="shared" si="8"/>
        <v>0</v>
      </c>
    </row>
    <row r="62" spans="1:8" x14ac:dyDescent="0.3">
      <c r="A62" s="156" t="str">
        <f>'Main Budget'!A138</f>
        <v>Co-PI 2: Enter name here</v>
      </c>
      <c r="B62" s="168">
        <f>'Main Budget'!B138</f>
        <v>9</v>
      </c>
      <c r="C62" s="169">
        <f>'Main Budget'!C138</f>
        <v>0</v>
      </c>
      <c r="D62" s="169">
        <f>'Main Budget'!D138</f>
        <v>0</v>
      </c>
      <c r="E62" s="169">
        <f>'Main Budget'!E138</f>
        <v>0</v>
      </c>
      <c r="F62" s="170">
        <f>'Main Budget'!F138</f>
        <v>0</v>
      </c>
      <c r="G62" s="170">
        <f>ROUND('Main Budget'!G138,0)</f>
        <v>0</v>
      </c>
      <c r="H62" s="170">
        <f t="shared" si="8"/>
        <v>0</v>
      </c>
    </row>
    <row r="63" spans="1:8" x14ac:dyDescent="0.3">
      <c r="A63" s="156" t="str">
        <f>'Main Budget'!A139</f>
        <v>Co-PI 3:</v>
      </c>
      <c r="B63" s="168">
        <f>'Main Budget'!B139</f>
        <v>9</v>
      </c>
      <c r="C63" s="169">
        <f>'Main Budget'!C139</f>
        <v>0</v>
      </c>
      <c r="D63" s="169">
        <f>'Main Budget'!D139</f>
        <v>0</v>
      </c>
      <c r="E63" s="169">
        <f>'Main Budget'!E139</f>
        <v>0</v>
      </c>
      <c r="F63" s="170">
        <f>'Main Budget'!F139</f>
        <v>0</v>
      </c>
      <c r="G63" s="170">
        <f>ROUND('Main Budget'!G139,0)</f>
        <v>0</v>
      </c>
      <c r="H63" s="170">
        <f t="shared" si="8"/>
        <v>0</v>
      </c>
    </row>
    <row r="64" spans="1:8" x14ac:dyDescent="0.3">
      <c r="A64" s="156" t="str">
        <f>'Main Budget'!A140</f>
        <v>Co-PI 4:</v>
      </c>
      <c r="B64" s="168">
        <f>'Main Budget'!B140</f>
        <v>9</v>
      </c>
      <c r="C64" s="169">
        <f>'Main Budget'!C140</f>
        <v>0</v>
      </c>
      <c r="D64" s="169">
        <f>'Main Budget'!D140</f>
        <v>0</v>
      </c>
      <c r="E64" s="169">
        <f>'Main Budget'!E140</f>
        <v>0</v>
      </c>
      <c r="F64" s="170">
        <f>'Main Budget'!F140</f>
        <v>0</v>
      </c>
      <c r="G64" s="170">
        <f>ROUND('Main Budget'!G140,0)</f>
        <v>0</v>
      </c>
      <c r="H64" s="170">
        <f t="shared" si="8"/>
        <v>0</v>
      </c>
    </row>
    <row r="65" spans="1:8" x14ac:dyDescent="0.3">
      <c r="A65" s="156" t="str">
        <f>'Main Budget'!A141</f>
        <v>Co-PI 5:</v>
      </c>
      <c r="B65" s="168">
        <f>'Main Budget'!B141</f>
        <v>9</v>
      </c>
      <c r="C65" s="169">
        <f>'Main Budget'!C141</f>
        <v>0</v>
      </c>
      <c r="D65" s="169">
        <f>'Main Budget'!D141</f>
        <v>0</v>
      </c>
      <c r="E65" s="169">
        <f>'Main Budget'!E141</f>
        <v>0</v>
      </c>
      <c r="F65" s="170">
        <f>'Main Budget'!F141</f>
        <v>0</v>
      </c>
      <c r="G65" s="170">
        <f>ROUND('Main Budget'!G141,0)</f>
        <v>0</v>
      </c>
      <c r="H65" s="170">
        <f t="shared" si="8"/>
        <v>0</v>
      </c>
    </row>
    <row r="66" spans="1:8" x14ac:dyDescent="0.3">
      <c r="B66" s="168"/>
      <c r="C66" s="169"/>
      <c r="D66" s="169"/>
      <c r="E66" s="169"/>
      <c r="F66" s="170"/>
      <c r="G66" s="170"/>
    </row>
    <row r="67" spans="1:8" x14ac:dyDescent="0.3">
      <c r="B67" s="168" t="str">
        <f>Salary!B74</f>
        <v>No. of Personnel</v>
      </c>
      <c r="C67" s="169" t="str">
        <f>Salary!C74</f>
        <v xml:space="preserve">Total Cal Months </v>
      </c>
      <c r="D67" s="169" t="str">
        <f>Salary!D74</f>
        <v>Requested Salary</v>
      </c>
      <c r="E67" s="169" t="str">
        <f>Salary!E74</f>
        <v>Fringe Benefits</v>
      </c>
      <c r="F67" s="170" t="s">
        <v>204</v>
      </c>
      <c r="G67" s="170"/>
    </row>
    <row r="68" spans="1:8" x14ac:dyDescent="0.3">
      <c r="A68" s="156" t="str">
        <f>Salary!A74</f>
        <v>Post Doctoral Associate</v>
      </c>
      <c r="B68" s="168">
        <f>Salary!B77</f>
        <v>0</v>
      </c>
      <c r="C68" s="169">
        <f>Salary!C77</f>
        <v>0</v>
      </c>
      <c r="D68" s="170">
        <f>Salary!D77</f>
        <v>0</v>
      </c>
      <c r="E68" s="170">
        <f>ROUND(Salary!E77,0)</f>
        <v>0</v>
      </c>
      <c r="F68" s="170">
        <f t="shared" ref="F68:F70" si="9">SUM(D68:E68)</f>
        <v>0</v>
      </c>
      <c r="G68" s="170"/>
    </row>
    <row r="69" spans="1:8" x14ac:dyDescent="0.3">
      <c r="A69" s="156" t="str">
        <f>Salary!$A$81</f>
        <v>Graduate Students</v>
      </c>
      <c r="B69" s="168">
        <f>Salary!B84</f>
        <v>0</v>
      </c>
      <c r="C69" s="169">
        <f>Salary!C84</f>
        <v>0</v>
      </c>
      <c r="D69" s="170">
        <f>Salary!D84</f>
        <v>0</v>
      </c>
      <c r="E69" s="170">
        <f>ROUND(Salary!E84,0)</f>
        <v>0</v>
      </c>
      <c r="F69" s="170">
        <f t="shared" si="9"/>
        <v>0</v>
      </c>
      <c r="G69" s="170"/>
    </row>
    <row r="70" spans="1:8" x14ac:dyDescent="0.3">
      <c r="A70" s="156" t="str">
        <f>Salary!$A$88</f>
        <v xml:space="preserve">Undergraduate Students </v>
      </c>
      <c r="B70" s="168">
        <f>Salary!B91</f>
        <v>0</v>
      </c>
      <c r="C70" s="169">
        <f>Salary!C91</f>
        <v>0</v>
      </c>
      <c r="D70" s="170">
        <f>Salary!D91</f>
        <v>0</v>
      </c>
      <c r="E70" s="170">
        <f>ROUND(Salary!E91,0)</f>
        <v>0</v>
      </c>
      <c r="F70" s="170">
        <f t="shared" si="9"/>
        <v>0</v>
      </c>
      <c r="G70" s="170"/>
    </row>
    <row r="71" spans="1:8" x14ac:dyDescent="0.3">
      <c r="B71" s="168"/>
      <c r="C71" s="169"/>
      <c r="D71" s="169"/>
      <c r="E71" s="169"/>
      <c r="F71" s="170"/>
      <c r="G71" s="170"/>
    </row>
    <row r="72" spans="1:8" x14ac:dyDescent="0.3">
      <c r="B72" s="168" t="str">
        <f>Salary!B95</f>
        <v xml:space="preserve">Total Cal Months </v>
      </c>
      <c r="C72" s="169" t="str">
        <f>Salary!C95</f>
        <v>Requested Salary</v>
      </c>
      <c r="D72" s="169" t="str">
        <f>Salary!D95</f>
        <v>Fringe Benefits</v>
      </c>
      <c r="E72" s="170" t="s">
        <v>204</v>
      </c>
      <c r="F72" s="170"/>
      <c r="G72" s="170"/>
    </row>
    <row r="73" spans="1:8" x14ac:dyDescent="0.3">
      <c r="A73" s="156" t="str">
        <f>Salary!A95</f>
        <v xml:space="preserve">Staff 1 </v>
      </c>
      <c r="B73" s="168">
        <f>Salary!B98</f>
        <v>0</v>
      </c>
      <c r="C73" s="170">
        <f>Salary!C98</f>
        <v>0</v>
      </c>
      <c r="D73" s="170">
        <f>ROUND(Salary!D98,0)</f>
        <v>0</v>
      </c>
      <c r="E73" s="170">
        <f t="shared" ref="E73:E77" si="10">SUM(C73:D73)</f>
        <v>0</v>
      </c>
      <c r="F73" s="170"/>
      <c r="G73" s="170"/>
    </row>
    <row r="74" spans="1:8" x14ac:dyDescent="0.3">
      <c r="A74" s="156" t="str">
        <f>Salary!$A$102</f>
        <v xml:space="preserve">Staff 2 </v>
      </c>
      <c r="B74" s="168">
        <f>Salary!B105</f>
        <v>0</v>
      </c>
      <c r="C74" s="170">
        <f>Salary!C105</f>
        <v>0</v>
      </c>
      <c r="D74" s="170">
        <f>ROUND(Salary!D105,0)</f>
        <v>0</v>
      </c>
      <c r="E74" s="170">
        <f t="shared" si="10"/>
        <v>0</v>
      </c>
      <c r="F74" s="170"/>
      <c r="G74" s="170"/>
    </row>
    <row r="75" spans="1:8" x14ac:dyDescent="0.3">
      <c r="A75" s="156" t="str">
        <f>Salary!$A$109</f>
        <v xml:space="preserve">Staff 3 </v>
      </c>
      <c r="B75" s="168">
        <f>Salary!B112</f>
        <v>0</v>
      </c>
      <c r="C75" s="170">
        <f>Salary!C112</f>
        <v>0</v>
      </c>
      <c r="D75" s="170">
        <f>ROUND(Salary!D112,0)</f>
        <v>0</v>
      </c>
      <c r="E75" s="170">
        <f t="shared" si="10"/>
        <v>0</v>
      </c>
      <c r="F75" s="170"/>
      <c r="G75" s="170"/>
    </row>
    <row r="76" spans="1:8" x14ac:dyDescent="0.3">
      <c r="A76" s="156" t="str">
        <f>Salary!$A$116</f>
        <v xml:space="preserve">Staff 4 </v>
      </c>
      <c r="B76" s="168">
        <f>Salary!B119</f>
        <v>0</v>
      </c>
      <c r="C76" s="170">
        <f>Salary!C119</f>
        <v>0</v>
      </c>
      <c r="D76" s="170">
        <f>ROUND(Salary!D119,0)</f>
        <v>0</v>
      </c>
      <c r="E76" s="170">
        <f t="shared" si="10"/>
        <v>0</v>
      </c>
      <c r="F76" s="170"/>
      <c r="G76" s="170"/>
    </row>
    <row r="77" spans="1:8" x14ac:dyDescent="0.3">
      <c r="A77" s="156" t="str">
        <f>Salary!$A$123</f>
        <v>Staff 5</v>
      </c>
      <c r="B77" s="168">
        <f>Salary!B126</f>
        <v>0</v>
      </c>
      <c r="C77" s="170">
        <f>Salary!C126</f>
        <v>0</v>
      </c>
      <c r="D77" s="170">
        <f>ROUND(Salary!D126,0)</f>
        <v>0</v>
      </c>
      <c r="E77" s="170">
        <f t="shared" si="10"/>
        <v>0</v>
      </c>
      <c r="F77" s="170"/>
      <c r="G77" s="170"/>
    </row>
    <row r="78" spans="1:8" x14ac:dyDescent="0.3">
      <c r="B78" s="168"/>
      <c r="C78" s="169"/>
      <c r="D78" s="169"/>
      <c r="E78" s="169"/>
      <c r="F78" s="170"/>
      <c r="G78" s="170"/>
    </row>
    <row r="79" spans="1:8" x14ac:dyDescent="0.3">
      <c r="B79" s="168" t="str">
        <f>Salary!B130</f>
        <v xml:space="preserve">Total Sum Months </v>
      </c>
      <c r="C79" s="169" t="str">
        <f>Salary!C130</f>
        <v>Requested Salary</v>
      </c>
      <c r="D79" s="169" t="str">
        <f>Salary!D130</f>
        <v>Fringe Benefits</v>
      </c>
      <c r="E79" s="170" t="s">
        <v>204</v>
      </c>
      <c r="F79" s="170"/>
      <c r="G79" s="170"/>
    </row>
    <row r="80" spans="1:8" x14ac:dyDescent="0.3">
      <c r="A80" s="156" t="str">
        <f>Salary!$A$130</f>
        <v>Faculty 1 (Summer)</v>
      </c>
      <c r="B80" s="168">
        <f>Salary!B133</f>
        <v>0</v>
      </c>
      <c r="C80" s="170">
        <f>Salary!C133</f>
        <v>0</v>
      </c>
      <c r="D80" s="170">
        <f>ROUND(Salary!D133,0)</f>
        <v>0</v>
      </c>
      <c r="E80" s="170">
        <f t="shared" ref="E80:E84" si="11">SUM(C80:D80)</f>
        <v>0</v>
      </c>
      <c r="F80" s="170"/>
      <c r="G80" s="170"/>
    </row>
    <row r="81" spans="1:8" x14ac:dyDescent="0.3">
      <c r="A81" s="156" t="str">
        <f>Salary!$A$137</f>
        <v>Faculty 2 (Summer)</v>
      </c>
      <c r="B81" s="168">
        <f>Salary!B140</f>
        <v>0</v>
      </c>
      <c r="C81" s="170">
        <f>Salary!C140</f>
        <v>0</v>
      </c>
      <c r="D81" s="170">
        <f>ROUND(Salary!D140,0)</f>
        <v>0</v>
      </c>
      <c r="E81" s="170">
        <f t="shared" si="11"/>
        <v>0</v>
      </c>
      <c r="F81" s="170"/>
      <c r="G81" s="170"/>
    </row>
    <row r="82" spans="1:8" x14ac:dyDescent="0.3">
      <c r="A82" s="156" t="str">
        <f>Salary!$A$144</f>
        <v>Faculty 3 (Summer)</v>
      </c>
      <c r="B82" s="168">
        <f>Salary!B147</f>
        <v>0</v>
      </c>
      <c r="C82" s="170">
        <f>Salary!C147</f>
        <v>0</v>
      </c>
      <c r="D82" s="170">
        <f>ROUND(Salary!D147,0)</f>
        <v>0</v>
      </c>
      <c r="E82" s="170">
        <f t="shared" si="11"/>
        <v>0</v>
      </c>
      <c r="F82" s="170"/>
      <c r="G82" s="170"/>
    </row>
    <row r="83" spans="1:8" x14ac:dyDescent="0.3">
      <c r="A83" s="156" t="str">
        <f>Salary!$A$151</f>
        <v>Faculty 4 (Summer)</v>
      </c>
      <c r="B83" s="168">
        <f>Salary!B154</f>
        <v>0</v>
      </c>
      <c r="C83" s="170">
        <f>Salary!C154</f>
        <v>0</v>
      </c>
      <c r="D83" s="170">
        <f>ROUND(Salary!D154,0)</f>
        <v>0</v>
      </c>
      <c r="E83" s="170">
        <f t="shared" si="11"/>
        <v>0</v>
      </c>
      <c r="F83" s="170"/>
      <c r="G83" s="170"/>
    </row>
    <row r="84" spans="1:8" x14ac:dyDescent="0.3">
      <c r="A84" s="156" t="str">
        <f>Salary!$A$158</f>
        <v>Faculty 5 (Summer)</v>
      </c>
      <c r="B84" s="168">
        <f>Salary!B161</f>
        <v>0</v>
      </c>
      <c r="C84" s="170">
        <f>Salary!C161</f>
        <v>0</v>
      </c>
      <c r="D84" s="170">
        <f>ROUND(Salary!D161,0)</f>
        <v>0</v>
      </c>
      <c r="E84" s="170">
        <f t="shared" si="11"/>
        <v>0</v>
      </c>
      <c r="F84" s="170"/>
      <c r="G84" s="170"/>
    </row>
    <row r="85" spans="1:8" x14ac:dyDescent="0.3">
      <c r="B85" s="168"/>
      <c r="C85" s="169"/>
      <c r="D85" s="169"/>
      <c r="E85" s="169"/>
      <c r="F85" s="170"/>
      <c r="G85" s="170"/>
    </row>
    <row r="86" spans="1:8" x14ac:dyDescent="0.3">
      <c r="B86" s="570" t="str">
        <f>'Main Budget'!B142</f>
        <v>YEAR 4</v>
      </c>
      <c r="C86" s="570"/>
      <c r="D86" s="570"/>
      <c r="E86" s="570"/>
      <c r="F86" s="570"/>
      <c r="G86" s="570"/>
    </row>
    <row r="87" spans="1:8" x14ac:dyDescent="0.3">
      <c r="B87" s="168" t="str">
        <f>'Main Budget'!B143</f>
        <v>Month Appt</v>
      </c>
      <c r="C87" s="168" t="str">
        <f>'Main Budget'!C143</f>
        <v>Acad/Cal</v>
      </c>
      <c r="D87" s="168" t="str">
        <f>'Main Budget'!D143</f>
        <v>Summer</v>
      </c>
      <c r="E87" s="168" t="str">
        <f>'Main Budget'!E143</f>
        <v>Months Total</v>
      </c>
      <c r="F87" s="168" t="str">
        <f>'Main Budget'!F143</f>
        <v>Salary Requested</v>
      </c>
      <c r="G87" s="168" t="str">
        <f>'Main Budget'!G143</f>
        <v xml:space="preserve">Fringe </v>
      </c>
      <c r="H87" s="170" t="s">
        <v>204</v>
      </c>
    </row>
    <row r="88" spans="1:8" x14ac:dyDescent="0.3">
      <c r="A88" s="156" t="str">
        <f>'Main Budget'!A144</f>
        <v xml:space="preserve">PI: </v>
      </c>
      <c r="B88" s="168">
        <f>'Main Budget'!B144</f>
        <v>9</v>
      </c>
      <c r="C88" s="168">
        <f>'Main Budget'!C144</f>
        <v>0</v>
      </c>
      <c r="D88" s="168">
        <f>'Main Budget'!D144</f>
        <v>0</v>
      </c>
      <c r="E88" s="168">
        <f>'Main Budget'!E144</f>
        <v>0</v>
      </c>
      <c r="F88" s="170">
        <f>'Main Budget'!F144</f>
        <v>0</v>
      </c>
      <c r="G88" s="170">
        <f>ROUND('Main Budget'!G144,0)</f>
        <v>0</v>
      </c>
      <c r="H88" s="170">
        <f t="shared" ref="H88:H93" si="12">SUM(F88:G88)</f>
        <v>0</v>
      </c>
    </row>
    <row r="89" spans="1:8" x14ac:dyDescent="0.3">
      <c r="A89" s="156" t="str">
        <f>'Main Budget'!A145</f>
        <v>Co-PI 1: Enter name here</v>
      </c>
      <c r="B89" s="168">
        <f>'Main Budget'!B145</f>
        <v>9</v>
      </c>
      <c r="C89" s="168">
        <f>'Main Budget'!C145</f>
        <v>0</v>
      </c>
      <c r="D89" s="168">
        <f>'Main Budget'!D145</f>
        <v>0</v>
      </c>
      <c r="E89" s="168">
        <f>'Main Budget'!E145</f>
        <v>0</v>
      </c>
      <c r="F89" s="170">
        <f>'Main Budget'!F145</f>
        <v>0</v>
      </c>
      <c r="G89" s="170">
        <f>ROUND('Main Budget'!G145,0)</f>
        <v>0</v>
      </c>
      <c r="H89" s="170">
        <f t="shared" si="12"/>
        <v>0</v>
      </c>
    </row>
    <row r="90" spans="1:8" x14ac:dyDescent="0.3">
      <c r="A90" s="156" t="str">
        <f>'Main Budget'!A146</f>
        <v>Co-PI 2: Enter name here</v>
      </c>
      <c r="B90" s="168">
        <f>'Main Budget'!B146</f>
        <v>9</v>
      </c>
      <c r="C90" s="168">
        <f>'Main Budget'!C146</f>
        <v>0</v>
      </c>
      <c r="D90" s="168">
        <f>'Main Budget'!D146</f>
        <v>0</v>
      </c>
      <c r="E90" s="168">
        <f>'Main Budget'!E146</f>
        <v>0</v>
      </c>
      <c r="F90" s="170">
        <f>'Main Budget'!F146</f>
        <v>0</v>
      </c>
      <c r="G90" s="170">
        <f>ROUND('Main Budget'!G146,0)</f>
        <v>0</v>
      </c>
      <c r="H90" s="170">
        <f t="shared" si="12"/>
        <v>0</v>
      </c>
    </row>
    <row r="91" spans="1:8" x14ac:dyDescent="0.3">
      <c r="A91" s="156" t="str">
        <f>'Main Budget'!A147</f>
        <v>Co-PI 3:</v>
      </c>
      <c r="B91" s="168">
        <f>'Main Budget'!B147</f>
        <v>9</v>
      </c>
      <c r="C91" s="168">
        <f>'Main Budget'!C147</f>
        <v>0</v>
      </c>
      <c r="D91" s="168">
        <f>'Main Budget'!D147</f>
        <v>0</v>
      </c>
      <c r="E91" s="168">
        <f>'Main Budget'!E147</f>
        <v>0</v>
      </c>
      <c r="F91" s="170">
        <f>'Main Budget'!F147</f>
        <v>0</v>
      </c>
      <c r="G91" s="170">
        <f>ROUND('Main Budget'!G147,0)</f>
        <v>0</v>
      </c>
      <c r="H91" s="170">
        <f t="shared" si="12"/>
        <v>0</v>
      </c>
    </row>
    <row r="92" spans="1:8" x14ac:dyDescent="0.3">
      <c r="A92" s="156" t="str">
        <f>'Main Budget'!A148</f>
        <v>Co-PI 4:</v>
      </c>
      <c r="B92" s="168">
        <f>'Main Budget'!B148</f>
        <v>9</v>
      </c>
      <c r="C92" s="168">
        <f>'Main Budget'!C148</f>
        <v>0</v>
      </c>
      <c r="D92" s="168">
        <f>'Main Budget'!D148</f>
        <v>0</v>
      </c>
      <c r="E92" s="168">
        <f>'Main Budget'!E148</f>
        <v>0</v>
      </c>
      <c r="F92" s="170">
        <f>'Main Budget'!F148</f>
        <v>0</v>
      </c>
      <c r="G92" s="170">
        <f>ROUND('Main Budget'!G148,0)</f>
        <v>0</v>
      </c>
      <c r="H92" s="170">
        <f t="shared" si="12"/>
        <v>0</v>
      </c>
    </row>
    <row r="93" spans="1:8" x14ac:dyDescent="0.3">
      <c r="A93" s="156" t="str">
        <f>'Main Budget'!A149</f>
        <v>Co-PI 5:</v>
      </c>
      <c r="B93" s="168">
        <f>'Main Budget'!B149</f>
        <v>9</v>
      </c>
      <c r="C93" s="168">
        <f>'Main Budget'!C149</f>
        <v>0</v>
      </c>
      <c r="D93" s="168">
        <f>'Main Budget'!D149</f>
        <v>0</v>
      </c>
      <c r="E93" s="168">
        <f>'Main Budget'!E149</f>
        <v>0</v>
      </c>
      <c r="F93" s="170">
        <f>'Main Budget'!F149</f>
        <v>0</v>
      </c>
      <c r="G93" s="170">
        <f>ROUND('Main Budget'!G149,0)</f>
        <v>0</v>
      </c>
      <c r="H93" s="170">
        <f t="shared" si="12"/>
        <v>0</v>
      </c>
    </row>
    <row r="94" spans="1:8" x14ac:dyDescent="0.3">
      <c r="B94" s="168"/>
      <c r="C94" s="168"/>
      <c r="D94" s="168"/>
      <c r="E94" s="168"/>
      <c r="F94" s="170"/>
      <c r="G94" s="170"/>
    </row>
    <row r="95" spans="1:8" x14ac:dyDescent="0.3">
      <c r="B95" s="168" t="str">
        <f>Salary!B74</f>
        <v>No. of Personnel</v>
      </c>
      <c r="C95" s="168" t="str">
        <f>Salary!C74</f>
        <v xml:space="preserve">Total Cal Months </v>
      </c>
      <c r="D95" s="168" t="str">
        <f>Salary!D74</f>
        <v>Requested Salary</v>
      </c>
      <c r="E95" s="168" t="str">
        <f>Salary!E74</f>
        <v>Fringe Benefits</v>
      </c>
      <c r="F95" s="170" t="s">
        <v>204</v>
      </c>
      <c r="G95" s="170"/>
    </row>
    <row r="96" spans="1:8" x14ac:dyDescent="0.3">
      <c r="A96" s="156" t="str">
        <f>Salary!A74</f>
        <v>Post Doctoral Associate</v>
      </c>
      <c r="B96" s="168">
        <f>Salary!B78</f>
        <v>0</v>
      </c>
      <c r="C96" s="168">
        <f>Salary!C78</f>
        <v>0</v>
      </c>
      <c r="D96" s="170">
        <f>Salary!D78</f>
        <v>0</v>
      </c>
      <c r="E96" s="170">
        <f>ROUND(Salary!E78,0)</f>
        <v>0</v>
      </c>
      <c r="F96" s="170">
        <f t="shared" ref="F96:F98" si="13">SUM(D96:E96)</f>
        <v>0</v>
      </c>
      <c r="G96" s="170"/>
    </row>
    <row r="97" spans="1:7" x14ac:dyDescent="0.3">
      <c r="A97" s="156" t="str">
        <f>Salary!$A$81</f>
        <v>Graduate Students</v>
      </c>
      <c r="B97" s="168">
        <f>Salary!B85</f>
        <v>0</v>
      </c>
      <c r="C97" s="168">
        <f>Salary!C85</f>
        <v>0</v>
      </c>
      <c r="D97" s="170">
        <f>Salary!D85</f>
        <v>0</v>
      </c>
      <c r="E97" s="170">
        <f>ROUND(Salary!E85,0)</f>
        <v>0</v>
      </c>
      <c r="F97" s="170">
        <f t="shared" si="13"/>
        <v>0</v>
      </c>
      <c r="G97" s="170"/>
    </row>
    <row r="98" spans="1:7" x14ac:dyDescent="0.3">
      <c r="A98" s="156" t="str">
        <f>Salary!$A$88</f>
        <v xml:space="preserve">Undergraduate Students </v>
      </c>
      <c r="B98" s="168">
        <f>Salary!B92</f>
        <v>0</v>
      </c>
      <c r="C98" s="168">
        <f>Salary!C92</f>
        <v>0</v>
      </c>
      <c r="D98" s="170">
        <f>Salary!D92</f>
        <v>0</v>
      </c>
      <c r="E98" s="170">
        <f>ROUND(Salary!E92,0)</f>
        <v>0</v>
      </c>
      <c r="F98" s="170">
        <f t="shared" si="13"/>
        <v>0</v>
      </c>
      <c r="G98" s="170"/>
    </row>
    <row r="99" spans="1:7" x14ac:dyDescent="0.3">
      <c r="B99" s="168"/>
      <c r="C99" s="168"/>
      <c r="D99" s="168"/>
      <c r="E99" s="168"/>
      <c r="F99" s="170"/>
      <c r="G99" s="170"/>
    </row>
    <row r="100" spans="1:7" x14ac:dyDescent="0.3">
      <c r="B100" s="168" t="str">
        <f>Salary!B95</f>
        <v xml:space="preserve">Total Cal Months </v>
      </c>
      <c r="C100" s="168" t="str">
        <f>Salary!C95</f>
        <v>Requested Salary</v>
      </c>
      <c r="D100" s="168" t="str">
        <f>Salary!D95</f>
        <v>Fringe Benefits</v>
      </c>
      <c r="E100" s="170" t="s">
        <v>204</v>
      </c>
      <c r="F100" s="170"/>
      <c r="G100" s="170"/>
    </row>
    <row r="101" spans="1:7" x14ac:dyDescent="0.3">
      <c r="A101" s="156" t="str">
        <f>Salary!A95</f>
        <v xml:space="preserve">Staff 1 </v>
      </c>
      <c r="B101" s="168">
        <f>Salary!B99</f>
        <v>0</v>
      </c>
      <c r="C101" s="170">
        <f>Salary!C99</f>
        <v>0</v>
      </c>
      <c r="D101" s="170">
        <f>ROUND(Salary!D99,0)</f>
        <v>0</v>
      </c>
      <c r="E101" s="170">
        <f t="shared" ref="E101:E105" si="14">SUM(C101:D101)</f>
        <v>0</v>
      </c>
      <c r="F101" s="170"/>
      <c r="G101" s="170"/>
    </row>
    <row r="102" spans="1:7" x14ac:dyDescent="0.3">
      <c r="A102" s="156" t="str">
        <f>Salary!$A$102</f>
        <v xml:space="preserve">Staff 2 </v>
      </c>
      <c r="B102" s="168">
        <f>Salary!B106</f>
        <v>0</v>
      </c>
      <c r="C102" s="170">
        <f>Salary!C106</f>
        <v>0</v>
      </c>
      <c r="D102" s="170">
        <f>ROUND(Salary!D106,0)</f>
        <v>0</v>
      </c>
      <c r="E102" s="170">
        <f t="shared" si="14"/>
        <v>0</v>
      </c>
      <c r="F102" s="170"/>
      <c r="G102" s="170"/>
    </row>
    <row r="103" spans="1:7" x14ac:dyDescent="0.3">
      <c r="A103" s="156" t="str">
        <f>Salary!$A$109</f>
        <v xml:space="preserve">Staff 3 </v>
      </c>
      <c r="B103" s="168">
        <f>Salary!B113</f>
        <v>0</v>
      </c>
      <c r="C103" s="170">
        <f>Salary!C113</f>
        <v>0</v>
      </c>
      <c r="D103" s="170">
        <f>ROUND(Salary!D113,0)</f>
        <v>0</v>
      </c>
      <c r="E103" s="170">
        <f t="shared" si="14"/>
        <v>0</v>
      </c>
      <c r="F103" s="170"/>
      <c r="G103" s="170"/>
    </row>
    <row r="104" spans="1:7" x14ac:dyDescent="0.3">
      <c r="A104" s="156" t="str">
        <f>Salary!$A$116</f>
        <v xml:space="preserve">Staff 4 </v>
      </c>
      <c r="B104" s="168">
        <f>Salary!B120</f>
        <v>0</v>
      </c>
      <c r="C104" s="170">
        <f>Salary!C120</f>
        <v>0</v>
      </c>
      <c r="D104" s="170">
        <f>ROUND(Salary!D120,0)</f>
        <v>0</v>
      </c>
      <c r="E104" s="170">
        <f t="shared" si="14"/>
        <v>0</v>
      </c>
      <c r="F104" s="170"/>
      <c r="G104" s="170"/>
    </row>
    <row r="105" spans="1:7" x14ac:dyDescent="0.3">
      <c r="A105" s="156" t="str">
        <f>Salary!$A$123</f>
        <v>Staff 5</v>
      </c>
      <c r="B105" s="168">
        <f>Salary!B127</f>
        <v>0</v>
      </c>
      <c r="C105" s="170">
        <f>Salary!C127</f>
        <v>0</v>
      </c>
      <c r="D105" s="170">
        <f>ROUND(Salary!D127,0)</f>
        <v>0</v>
      </c>
      <c r="E105" s="170">
        <f t="shared" si="14"/>
        <v>0</v>
      </c>
      <c r="F105" s="170"/>
      <c r="G105" s="170"/>
    </row>
    <row r="106" spans="1:7" x14ac:dyDescent="0.3">
      <c r="B106" s="168"/>
      <c r="C106" s="168"/>
      <c r="D106" s="168"/>
      <c r="E106" s="168"/>
      <c r="F106" s="170"/>
      <c r="G106" s="170"/>
    </row>
    <row r="107" spans="1:7" x14ac:dyDescent="0.3">
      <c r="B107" s="168" t="str">
        <f>Salary!B130</f>
        <v xml:space="preserve">Total Sum Months </v>
      </c>
      <c r="C107" s="169" t="str">
        <f>Salary!C130</f>
        <v>Requested Salary</v>
      </c>
      <c r="D107" s="169" t="str">
        <f>Salary!D130</f>
        <v>Fringe Benefits</v>
      </c>
      <c r="E107" s="170" t="s">
        <v>204</v>
      </c>
      <c r="F107" s="170"/>
      <c r="G107" s="170"/>
    </row>
    <row r="108" spans="1:7" x14ac:dyDescent="0.3">
      <c r="A108" s="156" t="str">
        <f>Salary!$A$130</f>
        <v>Faculty 1 (Summer)</v>
      </c>
      <c r="B108" s="168">
        <f>Salary!B134</f>
        <v>0</v>
      </c>
      <c r="C108" s="170">
        <f>Salary!C134</f>
        <v>0</v>
      </c>
      <c r="D108" s="170">
        <f>ROUND(Salary!D134,0)</f>
        <v>0</v>
      </c>
      <c r="E108" s="170">
        <f t="shared" ref="E108:E112" si="15">SUM(C108:D108)</f>
        <v>0</v>
      </c>
      <c r="F108" s="170"/>
      <c r="G108" s="170"/>
    </row>
    <row r="109" spans="1:7" x14ac:dyDescent="0.3">
      <c r="A109" s="156" t="str">
        <f>Salary!$A$137</f>
        <v>Faculty 2 (Summer)</v>
      </c>
      <c r="B109" s="168">
        <f>Salary!B141</f>
        <v>0</v>
      </c>
      <c r="C109" s="170">
        <f>Salary!C141</f>
        <v>0</v>
      </c>
      <c r="D109" s="170">
        <f>ROUND(Salary!D141,0)</f>
        <v>0</v>
      </c>
      <c r="E109" s="170">
        <f t="shared" si="15"/>
        <v>0</v>
      </c>
      <c r="F109" s="170"/>
      <c r="G109" s="170"/>
    </row>
    <row r="110" spans="1:7" x14ac:dyDescent="0.3">
      <c r="A110" s="156" t="str">
        <f>Salary!$A$144</f>
        <v>Faculty 3 (Summer)</v>
      </c>
      <c r="B110" s="168">
        <f>Salary!B148</f>
        <v>0</v>
      </c>
      <c r="C110" s="170">
        <f>Salary!C148</f>
        <v>0</v>
      </c>
      <c r="D110" s="170">
        <f>ROUND(Salary!D148,0)</f>
        <v>0</v>
      </c>
      <c r="E110" s="170">
        <f t="shared" si="15"/>
        <v>0</v>
      </c>
      <c r="F110" s="170"/>
      <c r="G110" s="170"/>
    </row>
    <row r="111" spans="1:7" x14ac:dyDescent="0.3">
      <c r="A111" s="156" t="str">
        <f>Salary!$A$151</f>
        <v>Faculty 4 (Summer)</v>
      </c>
      <c r="B111" s="168">
        <f>Salary!B155</f>
        <v>0</v>
      </c>
      <c r="C111" s="170">
        <f>Salary!C155</f>
        <v>0</v>
      </c>
      <c r="D111" s="170">
        <f>ROUND(Salary!D155,0)</f>
        <v>0</v>
      </c>
      <c r="E111" s="170">
        <f t="shared" si="15"/>
        <v>0</v>
      </c>
      <c r="F111" s="170"/>
      <c r="G111" s="170"/>
    </row>
    <row r="112" spans="1:7" x14ac:dyDescent="0.3">
      <c r="A112" s="156" t="str">
        <f>Salary!$A$158</f>
        <v>Faculty 5 (Summer)</v>
      </c>
      <c r="B112" s="168">
        <f>Salary!B162</f>
        <v>0</v>
      </c>
      <c r="C112" s="170">
        <f>Salary!C162</f>
        <v>0</v>
      </c>
      <c r="D112" s="170">
        <f>ROUND(Salary!D162,0)</f>
        <v>0</v>
      </c>
      <c r="E112" s="170">
        <f t="shared" si="15"/>
        <v>0</v>
      </c>
      <c r="F112" s="170"/>
      <c r="G112" s="170"/>
    </row>
    <row r="113" spans="1:8" x14ac:dyDescent="0.3">
      <c r="B113" s="168"/>
      <c r="C113" s="168"/>
      <c r="D113" s="168"/>
      <c r="E113" s="168"/>
      <c r="F113" s="170"/>
      <c r="G113" s="170"/>
    </row>
    <row r="114" spans="1:8" x14ac:dyDescent="0.3">
      <c r="B114" s="570" t="str">
        <f>'Main Budget'!B150</f>
        <v>YEAR 5</v>
      </c>
      <c r="C114" s="570"/>
      <c r="D114" s="570"/>
      <c r="E114" s="570"/>
      <c r="F114" s="570"/>
      <c r="G114" s="570"/>
    </row>
    <row r="115" spans="1:8" x14ac:dyDescent="0.3">
      <c r="B115" s="168" t="str">
        <f>'Main Budget'!B151</f>
        <v>Month Appt</v>
      </c>
      <c r="C115" s="168" t="str">
        <f>'Main Budget'!C151</f>
        <v>Acad/Cal</v>
      </c>
      <c r="D115" s="168" t="str">
        <f>'Main Budget'!D151</f>
        <v>Summer</v>
      </c>
      <c r="E115" s="168" t="str">
        <f>'Main Budget'!E151</f>
        <v>Months Total</v>
      </c>
      <c r="F115" s="168" t="str">
        <f>'Main Budget'!F151</f>
        <v>Salary Requested</v>
      </c>
      <c r="G115" s="168" t="str">
        <f>'Main Budget'!G151</f>
        <v xml:space="preserve">Fringe </v>
      </c>
      <c r="H115" s="170" t="s">
        <v>204</v>
      </c>
    </row>
    <row r="116" spans="1:8" x14ac:dyDescent="0.3">
      <c r="A116" s="156" t="str">
        <f>'Main Budget'!A152</f>
        <v xml:space="preserve">PI: </v>
      </c>
      <c r="B116" s="168">
        <f>'Main Budget'!B152</f>
        <v>9</v>
      </c>
      <c r="C116" s="169">
        <f>'Main Budget'!C152</f>
        <v>0</v>
      </c>
      <c r="D116" s="169">
        <f>'Main Budget'!D152</f>
        <v>0</v>
      </c>
      <c r="E116" s="169">
        <f>'Main Budget'!E152</f>
        <v>0</v>
      </c>
      <c r="F116" s="171">
        <f>'Main Budget'!F152</f>
        <v>0</v>
      </c>
      <c r="G116" s="171">
        <f>ROUND('Main Budget'!G152,0)</f>
        <v>0</v>
      </c>
      <c r="H116" s="170">
        <f t="shared" ref="H116:H121" si="16">SUM(F116:G116)</f>
        <v>0</v>
      </c>
    </row>
    <row r="117" spans="1:8" x14ac:dyDescent="0.3">
      <c r="A117" s="156" t="str">
        <f>'Main Budget'!A153</f>
        <v>Co-PI 1: Enter name here</v>
      </c>
      <c r="B117" s="168">
        <f>'Main Budget'!B153</f>
        <v>9</v>
      </c>
      <c r="C117" s="169">
        <f>'Main Budget'!C153</f>
        <v>0</v>
      </c>
      <c r="D117" s="169">
        <f>'Main Budget'!D153</f>
        <v>0</v>
      </c>
      <c r="E117" s="169">
        <f>'Main Budget'!E153</f>
        <v>0</v>
      </c>
      <c r="F117" s="171">
        <f>'Main Budget'!F153</f>
        <v>0</v>
      </c>
      <c r="G117" s="171">
        <f>ROUND('Main Budget'!G153,0)</f>
        <v>0</v>
      </c>
      <c r="H117" s="170">
        <f t="shared" si="16"/>
        <v>0</v>
      </c>
    </row>
    <row r="118" spans="1:8" x14ac:dyDescent="0.3">
      <c r="A118" s="156" t="str">
        <f>'Main Budget'!A154</f>
        <v>Co-PI 2: Enter name here</v>
      </c>
      <c r="B118" s="168">
        <f>'Main Budget'!B154</f>
        <v>9</v>
      </c>
      <c r="C118" s="169">
        <f>'Main Budget'!C154</f>
        <v>0</v>
      </c>
      <c r="D118" s="169">
        <f>'Main Budget'!D154</f>
        <v>0</v>
      </c>
      <c r="E118" s="169">
        <f>'Main Budget'!E154</f>
        <v>0</v>
      </c>
      <c r="F118" s="171">
        <f>'Main Budget'!F154</f>
        <v>0</v>
      </c>
      <c r="G118" s="171">
        <f>ROUND('Main Budget'!G154,0)</f>
        <v>0</v>
      </c>
      <c r="H118" s="170">
        <f t="shared" si="16"/>
        <v>0</v>
      </c>
    </row>
    <row r="119" spans="1:8" x14ac:dyDescent="0.3">
      <c r="A119" s="156" t="str">
        <f>'Main Budget'!A155</f>
        <v>Co-PI 3:</v>
      </c>
      <c r="B119" s="168">
        <f>'Main Budget'!B155</f>
        <v>9</v>
      </c>
      <c r="C119" s="169">
        <f>'Main Budget'!C155</f>
        <v>0</v>
      </c>
      <c r="D119" s="169">
        <f>'Main Budget'!D155</f>
        <v>0</v>
      </c>
      <c r="E119" s="169">
        <f>'Main Budget'!E155</f>
        <v>0</v>
      </c>
      <c r="F119" s="171">
        <f>'Main Budget'!F155</f>
        <v>0</v>
      </c>
      <c r="G119" s="171">
        <f>ROUND('Main Budget'!G155,0)</f>
        <v>0</v>
      </c>
      <c r="H119" s="170">
        <f t="shared" si="16"/>
        <v>0</v>
      </c>
    </row>
    <row r="120" spans="1:8" x14ac:dyDescent="0.3">
      <c r="A120" s="156" t="str">
        <f>'Main Budget'!A156</f>
        <v>Co-PI 4:</v>
      </c>
      <c r="B120" s="168">
        <f>'Main Budget'!B156</f>
        <v>9</v>
      </c>
      <c r="C120" s="169">
        <f>'Main Budget'!C156</f>
        <v>0</v>
      </c>
      <c r="D120" s="169">
        <f>'Main Budget'!D156</f>
        <v>0</v>
      </c>
      <c r="E120" s="169">
        <f>'Main Budget'!E156</f>
        <v>0</v>
      </c>
      <c r="F120" s="171">
        <f>'Main Budget'!F156</f>
        <v>0</v>
      </c>
      <c r="G120" s="171">
        <f>ROUND('Main Budget'!G156,0)</f>
        <v>0</v>
      </c>
      <c r="H120" s="170">
        <f t="shared" si="16"/>
        <v>0</v>
      </c>
    </row>
    <row r="121" spans="1:8" x14ac:dyDescent="0.3">
      <c r="A121" s="156" t="str">
        <f>'Main Budget'!A157</f>
        <v>Co-PI 5:</v>
      </c>
      <c r="B121" s="168">
        <f>'Main Budget'!B157</f>
        <v>9</v>
      </c>
      <c r="C121" s="169">
        <f>'Main Budget'!C157</f>
        <v>0</v>
      </c>
      <c r="D121" s="169">
        <f>'Main Budget'!D157</f>
        <v>0</v>
      </c>
      <c r="E121" s="169">
        <f>'Main Budget'!E157</f>
        <v>0</v>
      </c>
      <c r="F121" s="171">
        <f>'Main Budget'!F157</f>
        <v>0</v>
      </c>
      <c r="G121" s="171">
        <f>ROUND('Main Budget'!G157,0)</f>
        <v>0</v>
      </c>
      <c r="H121" s="170">
        <f t="shared" si="16"/>
        <v>0</v>
      </c>
    </row>
    <row r="122" spans="1:8" x14ac:dyDescent="0.3">
      <c r="B122" s="168"/>
      <c r="C122" s="169"/>
      <c r="D122" s="169"/>
      <c r="E122" s="169"/>
      <c r="F122" s="170"/>
      <c r="G122" s="170"/>
    </row>
    <row r="123" spans="1:8" x14ac:dyDescent="0.3">
      <c r="B123" s="168" t="str">
        <f>Salary!B74</f>
        <v>No. of Personnel</v>
      </c>
      <c r="C123" s="169" t="str">
        <f>Salary!C74</f>
        <v xml:space="preserve">Total Cal Months </v>
      </c>
      <c r="D123" s="169" t="str">
        <f>Salary!D74</f>
        <v>Requested Salary</v>
      </c>
      <c r="E123" s="169" t="str">
        <f>Salary!E74</f>
        <v>Fringe Benefits</v>
      </c>
      <c r="F123" s="170" t="s">
        <v>204</v>
      </c>
      <c r="G123" s="170"/>
    </row>
    <row r="124" spans="1:8" x14ac:dyDescent="0.3">
      <c r="A124" s="156" t="str">
        <f>Salary!A74</f>
        <v>Post Doctoral Associate</v>
      </c>
      <c r="B124" s="168">
        <f>Salary!B79</f>
        <v>0</v>
      </c>
      <c r="C124" s="169">
        <f>Salary!C79</f>
        <v>0</v>
      </c>
      <c r="D124" s="171">
        <f>Salary!D79</f>
        <v>0</v>
      </c>
      <c r="E124" s="171">
        <f>ROUND(Salary!E79,0)</f>
        <v>0</v>
      </c>
      <c r="F124" s="170">
        <f t="shared" ref="F124:F126" si="17">SUM(D124:E124)</f>
        <v>0</v>
      </c>
      <c r="G124" s="170"/>
    </row>
    <row r="125" spans="1:8" x14ac:dyDescent="0.3">
      <c r="A125" s="156" t="str">
        <f>Salary!$A$81</f>
        <v>Graduate Students</v>
      </c>
      <c r="B125" s="168">
        <f>Salary!B86</f>
        <v>0</v>
      </c>
      <c r="C125" s="169">
        <f>Salary!C86</f>
        <v>0</v>
      </c>
      <c r="D125" s="171">
        <f>Salary!D86</f>
        <v>0</v>
      </c>
      <c r="E125" s="171">
        <f>ROUND(Salary!E86,0)</f>
        <v>0</v>
      </c>
      <c r="F125" s="170">
        <f t="shared" si="17"/>
        <v>0</v>
      </c>
      <c r="G125" s="170"/>
    </row>
    <row r="126" spans="1:8" x14ac:dyDescent="0.3">
      <c r="A126" s="156" t="str">
        <f>Salary!$A$88</f>
        <v xml:space="preserve">Undergraduate Students </v>
      </c>
      <c r="B126" s="168">
        <f>Salary!B93</f>
        <v>0</v>
      </c>
      <c r="C126" s="169">
        <f>Salary!C93</f>
        <v>0</v>
      </c>
      <c r="D126" s="171">
        <f>Salary!D93</f>
        <v>0</v>
      </c>
      <c r="E126" s="171">
        <f>ROUND(Salary!E93,0)</f>
        <v>0</v>
      </c>
      <c r="F126" s="170">
        <f t="shared" si="17"/>
        <v>0</v>
      </c>
      <c r="G126" s="170"/>
    </row>
    <row r="127" spans="1:8" x14ac:dyDescent="0.3">
      <c r="B127" s="168"/>
      <c r="C127" s="169"/>
      <c r="D127" s="169"/>
      <c r="E127" s="169"/>
      <c r="F127" s="170"/>
      <c r="G127" s="170"/>
    </row>
    <row r="128" spans="1:8" x14ac:dyDescent="0.3">
      <c r="B128" s="168" t="str">
        <f>Salary!B95</f>
        <v xml:space="preserve">Total Cal Months </v>
      </c>
      <c r="C128" s="169" t="str">
        <f>Salary!C95</f>
        <v>Requested Salary</v>
      </c>
      <c r="D128" s="169" t="str">
        <f>Salary!D95</f>
        <v>Fringe Benefits</v>
      </c>
      <c r="E128" s="170" t="s">
        <v>204</v>
      </c>
      <c r="F128" s="170"/>
      <c r="G128" s="170"/>
    </row>
    <row r="129" spans="1:8" x14ac:dyDescent="0.3">
      <c r="A129" s="156" t="str">
        <f>Salary!A95</f>
        <v xml:space="preserve">Staff 1 </v>
      </c>
      <c r="B129" s="168">
        <f>Salary!B100</f>
        <v>0</v>
      </c>
      <c r="C129" s="171">
        <f>Salary!C100</f>
        <v>0</v>
      </c>
      <c r="D129" s="171">
        <f>ROUND(Salary!D100,0)</f>
        <v>0</v>
      </c>
      <c r="E129" s="170">
        <f t="shared" ref="E129:E133" si="18">SUM(C129:D129)</f>
        <v>0</v>
      </c>
      <c r="F129" s="170"/>
      <c r="G129" s="170"/>
    </row>
    <row r="130" spans="1:8" x14ac:dyDescent="0.3">
      <c r="A130" s="156" t="str">
        <f>Salary!$A$102</f>
        <v xml:space="preserve">Staff 2 </v>
      </c>
      <c r="B130" s="168">
        <f>Salary!B107</f>
        <v>0</v>
      </c>
      <c r="C130" s="171">
        <f>Salary!C107</f>
        <v>0</v>
      </c>
      <c r="D130" s="171">
        <f>ROUND(Salary!D107,0)</f>
        <v>0</v>
      </c>
      <c r="E130" s="170">
        <f t="shared" si="18"/>
        <v>0</v>
      </c>
      <c r="F130" s="170"/>
      <c r="G130" s="170"/>
    </row>
    <row r="131" spans="1:8" x14ac:dyDescent="0.3">
      <c r="A131" s="156" t="str">
        <f>Salary!$A$109</f>
        <v xml:space="preserve">Staff 3 </v>
      </c>
      <c r="B131" s="168">
        <f>Salary!B114</f>
        <v>0</v>
      </c>
      <c r="C131" s="171">
        <f>Salary!C114</f>
        <v>0</v>
      </c>
      <c r="D131" s="171">
        <f>ROUND(Salary!D114,0)</f>
        <v>0</v>
      </c>
      <c r="E131" s="170">
        <f t="shared" si="18"/>
        <v>0</v>
      </c>
      <c r="F131" s="170"/>
      <c r="G131" s="170"/>
    </row>
    <row r="132" spans="1:8" x14ac:dyDescent="0.3">
      <c r="A132" s="156" t="str">
        <f>Salary!$A$116</f>
        <v xml:space="preserve">Staff 4 </v>
      </c>
      <c r="B132" s="168">
        <f>Salary!B121</f>
        <v>0</v>
      </c>
      <c r="C132" s="170">
        <f>Salary!C121</f>
        <v>0</v>
      </c>
      <c r="D132" s="170">
        <f>ROUND(Salary!D121,0)</f>
        <v>0</v>
      </c>
      <c r="E132" s="170">
        <f t="shared" si="18"/>
        <v>0</v>
      </c>
      <c r="F132" s="170"/>
      <c r="G132" s="170"/>
    </row>
    <row r="133" spans="1:8" x14ac:dyDescent="0.3">
      <c r="A133" s="156" t="str">
        <f>Salary!$A$123</f>
        <v>Staff 5</v>
      </c>
      <c r="B133" s="168">
        <f>Salary!B128</f>
        <v>0</v>
      </c>
      <c r="C133" s="170">
        <f>Salary!C128</f>
        <v>0</v>
      </c>
      <c r="D133" s="170">
        <f>ROUND(Salary!D128,0)</f>
        <v>0</v>
      </c>
      <c r="E133" s="170">
        <f t="shared" si="18"/>
        <v>0</v>
      </c>
      <c r="F133" s="170"/>
      <c r="G133" s="170"/>
    </row>
    <row r="134" spans="1:8" x14ac:dyDescent="0.3">
      <c r="B134" s="168"/>
      <c r="C134" s="170"/>
      <c r="D134" s="170"/>
      <c r="E134" s="170"/>
      <c r="F134" s="170"/>
      <c r="G134" s="170"/>
    </row>
    <row r="135" spans="1:8" x14ac:dyDescent="0.3">
      <c r="B135" s="168" t="str">
        <f>Salary!B130</f>
        <v xml:space="preserve">Total Sum Months </v>
      </c>
      <c r="C135" s="169" t="str">
        <f>Salary!C130</f>
        <v>Requested Salary</v>
      </c>
      <c r="D135" s="169" t="str">
        <f>Salary!D130</f>
        <v>Fringe Benefits</v>
      </c>
      <c r="E135" s="170" t="s">
        <v>204</v>
      </c>
      <c r="F135" s="170"/>
      <c r="G135" s="170"/>
    </row>
    <row r="136" spans="1:8" x14ac:dyDescent="0.3">
      <c r="A136" s="156" t="str">
        <f>Salary!$A$130</f>
        <v>Faculty 1 (Summer)</v>
      </c>
      <c r="B136" s="168">
        <f>Salary!B135</f>
        <v>0</v>
      </c>
      <c r="C136" s="170">
        <f>Salary!C135</f>
        <v>0</v>
      </c>
      <c r="D136" s="170">
        <f>ROUND(Salary!D1352,0)</f>
        <v>0</v>
      </c>
      <c r="E136" s="170">
        <f t="shared" ref="E136:E140" si="19">SUM(C136:D136)</f>
        <v>0</v>
      </c>
      <c r="F136" s="170"/>
      <c r="G136" s="170"/>
    </row>
    <row r="137" spans="1:8" x14ac:dyDescent="0.3">
      <c r="A137" s="156" t="str">
        <f>Salary!$A$137</f>
        <v>Faculty 2 (Summer)</v>
      </c>
      <c r="B137" s="168">
        <f>Salary!B142</f>
        <v>0</v>
      </c>
      <c r="C137" s="170">
        <f>Salary!C142</f>
        <v>0</v>
      </c>
      <c r="D137" s="170">
        <f>ROUND(Salary!D1429,0)</f>
        <v>0</v>
      </c>
      <c r="E137" s="170">
        <f t="shared" si="19"/>
        <v>0</v>
      </c>
      <c r="F137" s="170"/>
      <c r="G137" s="170"/>
    </row>
    <row r="138" spans="1:8" x14ac:dyDescent="0.3">
      <c r="A138" s="156" t="str">
        <f>Salary!$A$144</f>
        <v>Faculty 3 (Summer)</v>
      </c>
      <c r="B138" s="168">
        <f>Salary!B149</f>
        <v>0</v>
      </c>
      <c r="C138" s="170">
        <f>Salary!C149</f>
        <v>0</v>
      </c>
      <c r="D138" s="170">
        <f>ROUND(Salary!D149,0)</f>
        <v>0</v>
      </c>
      <c r="E138" s="170">
        <f t="shared" si="19"/>
        <v>0</v>
      </c>
      <c r="F138" s="170"/>
      <c r="G138" s="170"/>
    </row>
    <row r="139" spans="1:8" x14ac:dyDescent="0.3">
      <c r="A139" s="156" t="str">
        <f>Salary!$A$151</f>
        <v>Faculty 4 (Summer)</v>
      </c>
      <c r="B139" s="168">
        <f>Salary!B156</f>
        <v>0</v>
      </c>
      <c r="C139" s="170">
        <f>Salary!C156</f>
        <v>0</v>
      </c>
      <c r="D139" s="170">
        <f>ROUND(Salary!D156,0)</f>
        <v>0</v>
      </c>
      <c r="E139" s="170">
        <f t="shared" si="19"/>
        <v>0</v>
      </c>
      <c r="F139" s="170"/>
      <c r="G139" s="170"/>
    </row>
    <row r="140" spans="1:8" x14ac:dyDescent="0.3">
      <c r="A140" s="156" t="str">
        <f>Salary!$A$158</f>
        <v>Faculty 5 (Summer)</v>
      </c>
      <c r="B140" s="168">
        <f>Salary!B163</f>
        <v>0</v>
      </c>
      <c r="C140" s="170">
        <f>Salary!C163</f>
        <v>0</v>
      </c>
      <c r="D140" s="170">
        <f>ROUND(Salary!D163,0)</f>
        <v>0</v>
      </c>
      <c r="E140" s="170">
        <f t="shared" si="19"/>
        <v>0</v>
      </c>
      <c r="F140" s="170"/>
      <c r="G140" s="170"/>
    </row>
    <row r="141" spans="1:8" x14ac:dyDescent="0.3">
      <c r="B141" s="168"/>
      <c r="C141" s="169"/>
      <c r="D141" s="169"/>
      <c r="E141" s="169"/>
      <c r="F141" s="170"/>
      <c r="G141" s="170"/>
    </row>
    <row r="142" spans="1:8" s="291" customFormat="1" x14ac:dyDescent="0.3"/>
    <row r="143" spans="1:8" x14ac:dyDescent="0.3">
      <c r="A143" s="167" t="s">
        <v>249</v>
      </c>
    </row>
    <row r="144" spans="1:8" x14ac:dyDescent="0.3">
      <c r="B144" s="168" t="s">
        <v>28</v>
      </c>
      <c r="C144" s="168" t="s">
        <v>203</v>
      </c>
      <c r="D144" s="168" t="s">
        <v>10</v>
      </c>
      <c r="E144" s="168" t="s">
        <v>112</v>
      </c>
      <c r="F144" s="168" t="s">
        <v>205</v>
      </c>
      <c r="G144" s="168" t="s">
        <v>74</v>
      </c>
      <c r="H144" s="168" t="s">
        <v>50</v>
      </c>
    </row>
    <row r="145" spans="1:8" x14ac:dyDescent="0.3">
      <c r="A145" s="156" t="str">
        <f t="shared" ref="A145:B150" si="20">A4</f>
        <v xml:space="preserve">PI: </v>
      </c>
      <c r="B145" s="168">
        <f t="shared" si="20"/>
        <v>9</v>
      </c>
      <c r="C145" s="169">
        <f t="shared" ref="C145:H145" si="21">SUM(C4,C32,C60,C88,C116)</f>
        <v>0</v>
      </c>
      <c r="D145" s="169">
        <f t="shared" si="21"/>
        <v>0</v>
      </c>
      <c r="E145" s="169">
        <f t="shared" si="21"/>
        <v>0</v>
      </c>
      <c r="F145" s="170">
        <f t="shared" si="21"/>
        <v>0</v>
      </c>
      <c r="G145" s="170">
        <f t="shared" si="21"/>
        <v>0</v>
      </c>
      <c r="H145" s="170">
        <f t="shared" si="21"/>
        <v>0</v>
      </c>
    </row>
    <row r="146" spans="1:8" x14ac:dyDescent="0.3">
      <c r="A146" s="156" t="str">
        <f t="shared" si="20"/>
        <v>Co-PI 1: Enter name here</v>
      </c>
      <c r="B146" s="168">
        <f t="shared" si="20"/>
        <v>9</v>
      </c>
      <c r="C146" s="169">
        <f t="shared" ref="C146:D150" si="22">SUM(C5,C33,C61,C89,C117)</f>
        <v>0</v>
      </c>
      <c r="D146" s="169">
        <f t="shared" si="22"/>
        <v>0</v>
      </c>
      <c r="E146" s="169">
        <f t="shared" ref="E146:F146" si="23">SUM(E5,E33,E61,E89,E117)</f>
        <v>0</v>
      </c>
      <c r="F146" s="170">
        <f t="shared" si="23"/>
        <v>0</v>
      </c>
      <c r="G146" s="170">
        <f t="shared" ref="G146:H146" si="24">SUM(G5,G33,G61,G89,G117)</f>
        <v>0</v>
      </c>
      <c r="H146" s="170">
        <f t="shared" si="24"/>
        <v>0</v>
      </c>
    </row>
    <row r="147" spans="1:8" x14ac:dyDescent="0.3">
      <c r="A147" s="156" t="str">
        <f t="shared" si="20"/>
        <v>Co-PI 2: Enter name here</v>
      </c>
      <c r="B147" s="168">
        <f t="shared" si="20"/>
        <v>9</v>
      </c>
      <c r="C147" s="169">
        <f t="shared" si="22"/>
        <v>0</v>
      </c>
      <c r="D147" s="169">
        <f t="shared" si="22"/>
        <v>0</v>
      </c>
      <c r="E147" s="169">
        <f t="shared" ref="E147:F147" si="25">SUM(E6,E34,E62,E90,E118)</f>
        <v>0</v>
      </c>
      <c r="F147" s="170">
        <f t="shared" si="25"/>
        <v>0</v>
      </c>
      <c r="G147" s="170">
        <f t="shared" ref="G147:H147" si="26">SUM(G6,G34,G62,G90,G118)</f>
        <v>0</v>
      </c>
      <c r="H147" s="170">
        <f t="shared" si="26"/>
        <v>0</v>
      </c>
    </row>
    <row r="148" spans="1:8" x14ac:dyDescent="0.3">
      <c r="A148" s="156" t="str">
        <f t="shared" si="20"/>
        <v>Co-PI 3:</v>
      </c>
      <c r="B148" s="168">
        <f t="shared" si="20"/>
        <v>9</v>
      </c>
      <c r="C148" s="169">
        <f t="shared" si="22"/>
        <v>0</v>
      </c>
      <c r="D148" s="169">
        <f t="shared" si="22"/>
        <v>0</v>
      </c>
      <c r="E148" s="169">
        <f t="shared" ref="E148:F148" si="27">SUM(E7,E35,E63,E91,E119)</f>
        <v>0</v>
      </c>
      <c r="F148" s="170">
        <f t="shared" si="27"/>
        <v>0</v>
      </c>
      <c r="G148" s="170">
        <f t="shared" ref="G148:H148" si="28">SUM(G7,G35,G63,G91,G119)</f>
        <v>0</v>
      </c>
      <c r="H148" s="170">
        <f t="shared" si="28"/>
        <v>0</v>
      </c>
    </row>
    <row r="149" spans="1:8" x14ac:dyDescent="0.3">
      <c r="A149" s="156" t="str">
        <f t="shared" si="20"/>
        <v>Co-PI 4:</v>
      </c>
      <c r="B149" s="168">
        <f t="shared" si="20"/>
        <v>9</v>
      </c>
      <c r="C149" s="169">
        <f t="shared" si="22"/>
        <v>0</v>
      </c>
      <c r="D149" s="169">
        <f t="shared" si="22"/>
        <v>0</v>
      </c>
      <c r="E149" s="169">
        <f t="shared" ref="E149:F149" si="29">SUM(E8,E36,E64,E92,E120)</f>
        <v>0</v>
      </c>
      <c r="F149" s="170">
        <f t="shared" si="29"/>
        <v>0</v>
      </c>
      <c r="G149" s="170">
        <f t="shared" ref="G149:H149" si="30">SUM(G8,G36,G64,G92,G120)</f>
        <v>0</v>
      </c>
      <c r="H149" s="170">
        <f t="shared" si="30"/>
        <v>0</v>
      </c>
    </row>
    <row r="150" spans="1:8" x14ac:dyDescent="0.3">
      <c r="A150" s="156" t="str">
        <f t="shared" si="20"/>
        <v>Co-PI 5:</v>
      </c>
      <c r="B150" s="168">
        <f t="shared" si="20"/>
        <v>9</v>
      </c>
      <c r="C150" s="169">
        <f t="shared" si="22"/>
        <v>0</v>
      </c>
      <c r="D150" s="169">
        <f t="shared" si="22"/>
        <v>0</v>
      </c>
      <c r="E150" s="169">
        <f t="shared" ref="E150:F150" si="31">SUM(E9,E37,E65,E93,E121)</f>
        <v>0</v>
      </c>
      <c r="F150" s="170">
        <f t="shared" si="31"/>
        <v>0</v>
      </c>
      <c r="G150" s="170">
        <f t="shared" ref="G150:H150" si="32">SUM(G9,G37,G65,G93,G121)</f>
        <v>0</v>
      </c>
      <c r="H150" s="170">
        <f t="shared" si="32"/>
        <v>0</v>
      </c>
    </row>
    <row r="151" spans="1:8" x14ac:dyDescent="0.3">
      <c r="C151" s="169"/>
      <c r="D151" s="169"/>
      <c r="E151" s="169"/>
      <c r="F151" s="170"/>
      <c r="G151" s="170"/>
    </row>
    <row r="152" spans="1:8" x14ac:dyDescent="0.3">
      <c r="B152" s="156" t="s">
        <v>202</v>
      </c>
      <c r="C152" s="169" t="s">
        <v>199</v>
      </c>
      <c r="D152" s="169" t="s">
        <v>198</v>
      </c>
      <c r="E152" s="169" t="s">
        <v>200</v>
      </c>
      <c r="F152" s="170" t="s">
        <v>204</v>
      </c>
      <c r="G152" s="170"/>
    </row>
    <row r="153" spans="1:8" x14ac:dyDescent="0.3">
      <c r="A153" s="156" t="s">
        <v>197</v>
      </c>
      <c r="B153" s="168">
        <f>SUM(Salary!B75:B79)</f>
        <v>0</v>
      </c>
      <c r="C153" s="169">
        <f t="shared" ref="C153:F153" si="33">SUM(C12,C40,C68,C96,C124)</f>
        <v>0</v>
      </c>
      <c r="D153" s="170">
        <f t="shared" si="33"/>
        <v>0</v>
      </c>
      <c r="E153" s="170">
        <f t="shared" si="33"/>
        <v>0</v>
      </c>
      <c r="F153" s="170">
        <f t="shared" si="33"/>
        <v>0</v>
      </c>
      <c r="G153" s="170"/>
    </row>
    <row r="154" spans="1:8" x14ac:dyDescent="0.3">
      <c r="A154" s="156" t="s">
        <v>217</v>
      </c>
      <c r="B154" s="168">
        <f>SUM(Salary!B82:B86)</f>
        <v>0</v>
      </c>
      <c r="C154" s="169">
        <f t="shared" ref="C154:F155" si="34">SUM(C13,C41,C69,C97,C125)</f>
        <v>0</v>
      </c>
      <c r="D154" s="170">
        <f t="shared" si="34"/>
        <v>0</v>
      </c>
      <c r="E154" s="170">
        <f t="shared" si="34"/>
        <v>0</v>
      </c>
      <c r="F154" s="170">
        <f t="shared" si="34"/>
        <v>0</v>
      </c>
      <c r="G154" s="170"/>
    </row>
    <row r="155" spans="1:8" x14ac:dyDescent="0.3">
      <c r="A155" s="156" t="s">
        <v>196</v>
      </c>
      <c r="B155" s="168">
        <f>SUM(Salary!B89:B93)</f>
        <v>0</v>
      </c>
      <c r="C155" s="169">
        <f t="shared" si="34"/>
        <v>0</v>
      </c>
      <c r="D155" s="170">
        <f t="shared" si="34"/>
        <v>0</v>
      </c>
      <c r="E155" s="170">
        <f t="shared" si="34"/>
        <v>0</v>
      </c>
      <c r="F155" s="170">
        <f t="shared" si="34"/>
        <v>0</v>
      </c>
      <c r="G155" s="170"/>
    </row>
    <row r="156" spans="1:8" x14ac:dyDescent="0.3">
      <c r="C156" s="169"/>
      <c r="D156" s="169"/>
      <c r="E156" s="169"/>
      <c r="F156" s="170"/>
      <c r="G156" s="170"/>
    </row>
    <row r="157" spans="1:8" x14ac:dyDescent="0.3">
      <c r="B157" s="156" t="s">
        <v>199</v>
      </c>
      <c r="C157" s="169" t="s">
        <v>198</v>
      </c>
      <c r="D157" s="169" t="s">
        <v>200</v>
      </c>
      <c r="E157" s="170" t="s">
        <v>204</v>
      </c>
      <c r="F157" s="170"/>
      <c r="G157" s="170"/>
    </row>
    <row r="158" spans="1:8" x14ac:dyDescent="0.3">
      <c r="A158" s="156" t="str">
        <f>Salary!A22</f>
        <v xml:space="preserve">Staff 1 </v>
      </c>
      <c r="B158" s="169">
        <f>SUM(B17,B45,B73,B101,B129)</f>
        <v>0</v>
      </c>
      <c r="C158" s="170">
        <f t="shared" ref="C158:E158" si="35">SUM(C17,C45,C73,C101,C129)</f>
        <v>0</v>
      </c>
      <c r="D158" s="170">
        <f t="shared" si="35"/>
        <v>0</v>
      </c>
      <c r="E158" s="170">
        <f t="shared" si="35"/>
        <v>0</v>
      </c>
      <c r="F158" s="170"/>
      <c r="G158" s="170"/>
    </row>
    <row r="159" spans="1:8" x14ac:dyDescent="0.3">
      <c r="A159" s="156" t="str">
        <f>Salary!A23</f>
        <v xml:space="preserve">Staff 2 </v>
      </c>
      <c r="B159" s="169">
        <f>SUM(B18,B46,B74,B102,B130)</f>
        <v>0</v>
      </c>
      <c r="C159" s="170">
        <f t="shared" ref="C159:E162" si="36">SUM(C18,C46,C74,C102,C130)</f>
        <v>0</v>
      </c>
      <c r="D159" s="170">
        <f t="shared" si="36"/>
        <v>0</v>
      </c>
      <c r="E159" s="170">
        <f t="shared" si="36"/>
        <v>0</v>
      </c>
      <c r="F159" s="170"/>
      <c r="G159" s="170"/>
    </row>
    <row r="160" spans="1:8" x14ac:dyDescent="0.3">
      <c r="A160" s="156" t="str">
        <f>Salary!A24</f>
        <v xml:space="preserve">Staff 3 </v>
      </c>
      <c r="B160" s="169">
        <f>SUM(B19,B47,B75,B103,B131)</f>
        <v>0</v>
      </c>
      <c r="C160" s="170">
        <f t="shared" si="36"/>
        <v>0</v>
      </c>
      <c r="D160" s="170">
        <f t="shared" si="36"/>
        <v>0</v>
      </c>
      <c r="E160" s="170">
        <f t="shared" si="36"/>
        <v>0</v>
      </c>
      <c r="F160" s="170"/>
      <c r="G160" s="170"/>
    </row>
    <row r="161" spans="1:7" x14ac:dyDescent="0.3">
      <c r="A161" s="156" t="str">
        <f>Salary!A25</f>
        <v xml:space="preserve">Staff 4 </v>
      </c>
      <c r="B161" s="169">
        <f>SUM(B20,B48,B76,B104,B132)</f>
        <v>0</v>
      </c>
      <c r="C161" s="170">
        <f t="shared" si="36"/>
        <v>0</v>
      </c>
      <c r="D161" s="170">
        <f t="shared" si="36"/>
        <v>0</v>
      </c>
      <c r="E161" s="170">
        <f t="shared" si="36"/>
        <v>0</v>
      </c>
      <c r="F161" s="170"/>
      <c r="G161" s="170"/>
    </row>
    <row r="162" spans="1:7" x14ac:dyDescent="0.3">
      <c r="A162" s="156" t="str">
        <f>Salary!A26</f>
        <v>Staff 5</v>
      </c>
      <c r="B162" s="169">
        <f>SUM(B21,B49,B77,B105,B133)</f>
        <v>0</v>
      </c>
      <c r="C162" s="170">
        <f t="shared" si="36"/>
        <v>0</v>
      </c>
      <c r="D162" s="170">
        <f t="shared" si="36"/>
        <v>0</v>
      </c>
      <c r="E162" s="170">
        <f t="shared" si="36"/>
        <v>0</v>
      </c>
      <c r="F162" s="170"/>
      <c r="G162" s="170"/>
    </row>
    <row r="163" spans="1:7" x14ac:dyDescent="0.3">
      <c r="B163" s="169"/>
      <c r="C163" s="170"/>
      <c r="D163" s="170"/>
      <c r="E163" s="170"/>
      <c r="F163" s="170"/>
      <c r="G163" s="170"/>
    </row>
    <row r="164" spans="1:7" x14ac:dyDescent="0.3">
      <c r="B164" s="156" t="s">
        <v>330</v>
      </c>
      <c r="C164" s="169" t="s">
        <v>198</v>
      </c>
      <c r="D164" s="169" t="s">
        <v>200</v>
      </c>
      <c r="E164" s="170" t="s">
        <v>204</v>
      </c>
      <c r="F164" s="170"/>
      <c r="G164" s="170"/>
    </row>
    <row r="165" spans="1:7" x14ac:dyDescent="0.3">
      <c r="A165" s="156" t="str">
        <f>Salary!A31</f>
        <v>Faculty 1 (Summer)</v>
      </c>
      <c r="B165" s="169">
        <f>SUM(B24,B52,B80,B108,B136)</f>
        <v>0</v>
      </c>
      <c r="C165" s="170">
        <f t="shared" ref="C165:E165" si="37">SUM(C24,C52,C80,C108,C136)</f>
        <v>0</v>
      </c>
      <c r="D165" s="170">
        <f t="shared" si="37"/>
        <v>0</v>
      </c>
      <c r="E165" s="170">
        <f t="shared" si="37"/>
        <v>0</v>
      </c>
      <c r="F165" s="170"/>
      <c r="G165" s="170"/>
    </row>
    <row r="166" spans="1:7" x14ac:dyDescent="0.3">
      <c r="A166" s="156" t="str">
        <f>Salary!A32</f>
        <v>Faculty 2 (Summer)</v>
      </c>
      <c r="B166" s="169">
        <f>SUM(B25,B53,B81,B109,B137)</f>
        <v>0</v>
      </c>
      <c r="C166" s="170">
        <f t="shared" ref="C166:E169" si="38">SUM(C25,C53,C81,C109,C137)</f>
        <v>0</v>
      </c>
      <c r="D166" s="170">
        <f t="shared" si="38"/>
        <v>0</v>
      </c>
      <c r="E166" s="170">
        <f t="shared" si="38"/>
        <v>0</v>
      </c>
      <c r="F166" s="170"/>
      <c r="G166" s="170"/>
    </row>
    <row r="167" spans="1:7" x14ac:dyDescent="0.3">
      <c r="A167" s="156" t="str">
        <f>Salary!A33</f>
        <v>Faculty 3 (Summer)</v>
      </c>
      <c r="B167" s="169">
        <f>SUM(B26,B54,B82,B110,B138)</f>
        <v>0</v>
      </c>
      <c r="C167" s="170">
        <f t="shared" si="38"/>
        <v>0</v>
      </c>
      <c r="D167" s="170">
        <f t="shared" si="38"/>
        <v>0</v>
      </c>
      <c r="E167" s="170">
        <f t="shared" si="38"/>
        <v>0</v>
      </c>
      <c r="F167" s="170"/>
      <c r="G167" s="170"/>
    </row>
    <row r="168" spans="1:7" x14ac:dyDescent="0.3">
      <c r="A168" s="156" t="str">
        <f>Salary!A34</f>
        <v>Faculty 4 (Summer)</v>
      </c>
      <c r="B168" s="169">
        <f>SUM(B27,B55,B83,B111,B139)</f>
        <v>0</v>
      </c>
      <c r="C168" s="170">
        <f t="shared" si="38"/>
        <v>0</v>
      </c>
      <c r="D168" s="170">
        <f t="shared" si="38"/>
        <v>0</v>
      </c>
      <c r="E168" s="170">
        <f t="shared" si="38"/>
        <v>0</v>
      </c>
      <c r="F168" s="170"/>
      <c r="G168" s="170"/>
    </row>
    <row r="169" spans="1:7" x14ac:dyDescent="0.3">
      <c r="A169" s="156" t="str">
        <f>Salary!A35</f>
        <v>Faculty 5 (Summer)</v>
      </c>
      <c r="B169" s="169">
        <f>SUM(B28,B56,B84,B112,B140)</f>
        <v>0</v>
      </c>
      <c r="C169" s="170">
        <f t="shared" si="38"/>
        <v>0</v>
      </c>
      <c r="D169" s="170">
        <f t="shared" si="38"/>
        <v>0</v>
      </c>
      <c r="E169" s="170">
        <f t="shared" si="38"/>
        <v>0</v>
      </c>
      <c r="F169" s="170"/>
      <c r="G169" s="170"/>
    </row>
    <row r="171" spans="1:7" s="291" customFormat="1" x14ac:dyDescent="0.3"/>
    <row r="172" spans="1:7" x14ac:dyDescent="0.3">
      <c r="A172" s="167" t="str">
        <f>'Main Budget'!A160</f>
        <v>NSF Only</v>
      </c>
      <c r="B172" s="168" t="str">
        <f>'Main Budget'!B160</f>
        <v>Year 1</v>
      </c>
      <c r="C172" s="168" t="str">
        <f>'Main Budget'!C160</f>
        <v>Year 2</v>
      </c>
      <c r="D172" s="168" t="str">
        <f>'Main Budget'!D160</f>
        <v>Year 3</v>
      </c>
      <c r="E172" s="168" t="str">
        <f>'Main Budget'!E160</f>
        <v>Year 4</v>
      </c>
      <c r="F172" s="168" t="str">
        <f>'Main Budget'!F160</f>
        <v>Year 5</v>
      </c>
      <c r="G172" s="168" t="str">
        <f>'Main Budget'!G160</f>
        <v xml:space="preserve">Total </v>
      </c>
    </row>
    <row r="173" spans="1:7" x14ac:dyDescent="0.3">
      <c r="A173" s="156" t="str">
        <f>'Main Budget'!A161</f>
        <v>Other Within Other Direct Costs</v>
      </c>
      <c r="B173" s="173">
        <f>'Main Budget'!B161</f>
        <v>0</v>
      </c>
      <c r="C173" s="173">
        <f>'Main Budget'!C161</f>
        <v>0</v>
      </c>
      <c r="D173" s="173">
        <f>'Main Budget'!D161</f>
        <v>0</v>
      </c>
      <c r="E173" s="173">
        <f>'Main Budget'!E161</f>
        <v>0</v>
      </c>
      <c r="F173" s="173">
        <f>'Main Budget'!F161</f>
        <v>0</v>
      </c>
      <c r="G173" s="282">
        <f>'Main Budget'!G161</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4" x14ac:dyDescent="0.3"/>
  <cols>
    <col min="1" max="1" width="29.83203125" customWidth="1"/>
    <col min="2" max="2" width="13.58203125" customWidth="1"/>
  </cols>
  <sheetData>
    <row r="1" spans="1:2" x14ac:dyDescent="0.3">
      <c r="A1" s="182" t="s">
        <v>268</v>
      </c>
      <c r="B1" s="182" t="s">
        <v>267</v>
      </c>
    </row>
    <row r="2" spans="1:2" x14ac:dyDescent="0.3">
      <c r="A2" s="185" t="s">
        <v>266</v>
      </c>
      <c r="B2" s="455" t="e">
        <f>'Main Budget'!G101</f>
        <v>#N/A</v>
      </c>
    </row>
    <row r="3" spans="1:2" x14ac:dyDescent="0.3">
      <c r="A3" s="456" t="s">
        <v>362</v>
      </c>
      <c r="B3" s="457"/>
    </row>
    <row r="4" spans="1:2" x14ac:dyDescent="0.3">
      <c r="A4" s="456" t="s">
        <v>363</v>
      </c>
      <c r="B4" s="457"/>
    </row>
    <row r="5" spans="1:2" x14ac:dyDescent="0.3">
      <c r="A5" s="456" t="s">
        <v>364</v>
      </c>
      <c r="B5" s="457"/>
    </row>
    <row r="6" spans="1:2" x14ac:dyDescent="0.3">
      <c r="A6" s="456" t="s">
        <v>365</v>
      </c>
      <c r="B6" s="457"/>
    </row>
    <row r="7" spans="1:2" x14ac:dyDescent="0.3">
      <c r="A7" s="456" t="s">
        <v>366</v>
      </c>
      <c r="B7" s="457"/>
    </row>
    <row r="8" spans="1:2" x14ac:dyDescent="0.3">
      <c r="A8" s="185" t="s">
        <v>272</v>
      </c>
      <c r="B8" s="455">
        <f>SUM(B3:B7)</f>
        <v>0</v>
      </c>
    </row>
    <row r="10" spans="1:2" x14ac:dyDescent="0.3">
      <c r="A10" s="458" t="s">
        <v>271</v>
      </c>
      <c r="B10" s="459">
        <v>600000</v>
      </c>
    </row>
    <row r="11" spans="1:2" x14ac:dyDescent="0.3">
      <c r="A11" s="458" t="s">
        <v>273</v>
      </c>
      <c r="B11" s="460">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Terry Koo</cp:lastModifiedBy>
  <cp:lastPrinted>2024-07-22T05:40:16Z</cp:lastPrinted>
  <dcterms:created xsi:type="dcterms:W3CDTF">2012-11-12T17:52:13Z</dcterms:created>
  <dcterms:modified xsi:type="dcterms:W3CDTF">2025-09-02T20:27:08Z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